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7\PAGINA WEB\"/>
    </mc:Choice>
  </mc:AlternateContent>
  <bookViews>
    <workbookView xWindow="0" yWindow="0" windowWidth="24000" windowHeight="9135" tabRatio="604" firstSheet="4" activeTab="4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LINEA'!$A$5:$AY$61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 concurrentCalc="0"/>
</workbook>
</file>

<file path=xl/calcChain.xml><?xml version="1.0" encoding="utf-8"?>
<calcChain xmlns="http://schemas.openxmlformats.org/spreadsheetml/2006/main">
  <c r="AY61" i="108" l="1"/>
  <c r="AY60" i="108"/>
  <c r="AV60" i="108"/>
  <c r="AX7" i="108"/>
  <c r="AY11" i="108"/>
  <c r="AY8" i="108"/>
  <c r="AY7" i="108"/>
  <c r="AX8" i="108"/>
  <c r="AX11" i="108"/>
  <c r="AV58" i="108"/>
  <c r="D36" i="110"/>
  <c r="D34" i="110"/>
  <c r="E33" i="110"/>
  <c r="D33" i="110"/>
  <c r="F33" i="110"/>
  <c r="AX12" i="108"/>
  <c r="AY12" i="108"/>
  <c r="AX14" i="108"/>
  <c r="AY14" i="108"/>
  <c r="AJ14" i="108"/>
  <c r="AK14" i="108"/>
  <c r="AI14" i="108"/>
  <c r="AL14" i="108"/>
  <c r="D39" i="110"/>
  <c r="AV61" i="108"/>
  <c r="D35" i="110"/>
  <c r="D49" i="110"/>
  <c r="D32" i="110"/>
  <c r="D43" i="110"/>
  <c r="D50" i="110"/>
  <c r="D41" i="110"/>
  <c r="D53" i="110"/>
  <c r="D38" i="110"/>
  <c r="D37" i="110"/>
  <c r="D52" i="110"/>
  <c r="D51" i="110"/>
  <c r="AX43" i="108"/>
  <c r="D54" i="110"/>
  <c r="AY37" i="108"/>
  <c r="BB37" i="108"/>
  <c r="AY38" i="108"/>
  <c r="BB33" i="108"/>
  <c r="AX36" i="108"/>
  <c r="AX29" i="108"/>
  <c r="AX28" i="108"/>
  <c r="AX25" i="108"/>
  <c r="AX23" i="108"/>
  <c r="BA20" i="108"/>
  <c r="BA18" i="108"/>
  <c r="AV59" i="108"/>
  <c r="D5" i="110"/>
  <c r="AY35" i="108"/>
  <c r="AY36" i="108"/>
  <c r="AY32" i="108"/>
  <c r="AX39" i="108"/>
  <c r="AY39" i="108"/>
  <c r="AX24" i="108"/>
  <c r="D3" i="110"/>
  <c r="AX18" i="108"/>
  <c r="AY18" i="108"/>
  <c r="AX16" i="108"/>
  <c r="AY16" i="108"/>
  <c r="AX20" i="108"/>
  <c r="AY20" i="108"/>
  <c r="AY28" i="108"/>
  <c r="AX13" i="108"/>
  <c r="AY13" i="108"/>
  <c r="AX44" i="108"/>
  <c r="AX49" i="108"/>
  <c r="AX50" i="108"/>
  <c r="AX45" i="108"/>
  <c r="AX47" i="108"/>
  <c r="AX48" i="108"/>
  <c r="AY48" i="108"/>
  <c r="AX53" i="108"/>
  <c r="AY54" i="108"/>
  <c r="AX55" i="108"/>
  <c r="C53" i="110"/>
  <c r="C52" i="110"/>
  <c r="C51" i="110"/>
  <c r="C50" i="110"/>
  <c r="C49" i="110"/>
  <c r="B7" i="110"/>
  <c r="AJ41" i="108"/>
  <c r="AK41" i="108"/>
  <c r="AI41" i="108"/>
  <c r="AJ42" i="108"/>
  <c r="AK42" i="108"/>
  <c r="AI42" i="108"/>
  <c r="AJ43" i="108"/>
  <c r="AK43" i="108"/>
  <c r="AI43" i="108"/>
  <c r="AJ44" i="108"/>
  <c r="AK44" i="108"/>
  <c r="AI44" i="108"/>
  <c r="AJ45" i="108"/>
  <c r="AK45" i="108"/>
  <c r="AI45" i="108"/>
  <c r="AJ46" i="108"/>
  <c r="AK46" i="108"/>
  <c r="AI46" i="108"/>
  <c r="AJ47" i="108"/>
  <c r="AK47" i="108"/>
  <c r="AI47" i="108"/>
  <c r="AJ48" i="108"/>
  <c r="AK48" i="108"/>
  <c r="AI48" i="108"/>
  <c r="AJ49" i="108"/>
  <c r="AK49" i="108"/>
  <c r="AI49" i="108"/>
  <c r="AJ50" i="108"/>
  <c r="AK50" i="108"/>
  <c r="AI50" i="108"/>
  <c r="AJ51" i="108"/>
  <c r="AK51" i="108"/>
  <c r="AI51" i="108"/>
  <c r="AL51" i="108"/>
  <c r="AJ52" i="108"/>
  <c r="AK52" i="108"/>
  <c r="AI52" i="108"/>
  <c r="AJ53" i="108"/>
  <c r="AK53" i="108"/>
  <c r="AI53" i="108"/>
  <c r="AL53" i="108"/>
  <c r="AJ54" i="108"/>
  <c r="AK54" i="108"/>
  <c r="AI54" i="108"/>
  <c r="AJ55" i="108"/>
  <c r="AK55" i="108"/>
  <c r="AI55" i="108"/>
  <c r="AL55" i="108"/>
  <c r="AJ23" i="108"/>
  <c r="AK23" i="108"/>
  <c r="AI23" i="108"/>
  <c r="AJ24" i="108"/>
  <c r="AK24" i="108"/>
  <c r="AI24" i="108"/>
  <c r="AJ25" i="108"/>
  <c r="AK25" i="108"/>
  <c r="AI25" i="108"/>
  <c r="AJ26" i="108"/>
  <c r="AK26" i="108"/>
  <c r="AI26" i="108"/>
  <c r="AJ27" i="108"/>
  <c r="AK27" i="108"/>
  <c r="AI27" i="108"/>
  <c r="AJ28" i="108"/>
  <c r="AK28" i="108"/>
  <c r="AI28" i="108"/>
  <c r="AJ31" i="108"/>
  <c r="AK31" i="108"/>
  <c r="AI31" i="108"/>
  <c r="AK32" i="108"/>
  <c r="AI32" i="108"/>
  <c r="AK33" i="108"/>
  <c r="AI33" i="108"/>
  <c r="AJ34" i="108"/>
  <c r="AK34" i="108"/>
  <c r="AI34" i="108"/>
  <c r="AJ35" i="108"/>
  <c r="AK35" i="108"/>
  <c r="AI35" i="108"/>
  <c r="AJ39" i="108"/>
  <c r="AK39" i="108"/>
  <c r="AI39" i="108"/>
  <c r="AJ16" i="108"/>
  <c r="AK16" i="108"/>
  <c r="AI16" i="108"/>
  <c r="AJ17" i="108"/>
  <c r="AK17" i="108"/>
  <c r="AI17" i="108"/>
  <c r="AJ18" i="108"/>
  <c r="AK18" i="108"/>
  <c r="AI18" i="108"/>
  <c r="AJ19" i="108"/>
  <c r="AK19" i="108"/>
  <c r="AI19" i="108"/>
  <c r="AJ20" i="108"/>
  <c r="AK20" i="108"/>
  <c r="AI20" i="108"/>
  <c r="AJ21" i="108"/>
  <c r="AK21" i="108"/>
  <c r="AI21" i="108"/>
  <c r="AJ7" i="108"/>
  <c r="AK7" i="108"/>
  <c r="AI7" i="108"/>
  <c r="AJ9" i="108"/>
  <c r="AK9" i="108"/>
  <c r="AI9" i="108"/>
  <c r="AJ10" i="108"/>
  <c r="AK10" i="108"/>
  <c r="AI10" i="108"/>
  <c r="AJ11" i="108"/>
  <c r="AK11" i="108"/>
  <c r="AI11" i="108"/>
  <c r="AK13" i="108"/>
  <c r="AI13" i="108"/>
  <c r="E35" i="110"/>
  <c r="AV19" i="108"/>
  <c r="AY19" i="108"/>
  <c r="AY23" i="108"/>
  <c r="AY26" i="108"/>
  <c r="AY27" i="108"/>
  <c r="AY33" i="108"/>
  <c r="AY34" i="108"/>
  <c r="AY41" i="108"/>
  <c r="AY42" i="108"/>
  <c r="AY43" i="108"/>
  <c r="AY51" i="108"/>
  <c r="AY31" i="108"/>
  <c r="AT57" i="108"/>
  <c r="AS6" i="108"/>
  <c r="AS41" i="108"/>
  <c r="E34" i="110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G29" i="33"/>
  <c r="H29" i="38"/>
  <c r="F29" i="33"/>
  <c r="G29" i="38"/>
  <c r="C9" i="52"/>
  <c r="V9" i="52"/>
  <c r="E29" i="33"/>
  <c r="F29" i="38"/>
  <c r="B9" i="52"/>
  <c r="D29" i="33"/>
  <c r="C29" i="38"/>
  <c r="B29" i="38"/>
  <c r="A29" i="33"/>
  <c r="A29" i="38"/>
  <c r="G28" i="33"/>
  <c r="H28" i="38"/>
  <c r="F28" i="33"/>
  <c r="G28" i="38"/>
  <c r="C8" i="52"/>
  <c r="V8" i="52"/>
  <c r="E28" i="33"/>
  <c r="F28" i="38"/>
  <c r="B8" i="52"/>
  <c r="D28" i="33"/>
  <c r="C28" i="38"/>
  <c r="B28" i="38"/>
  <c r="A28" i="33"/>
  <c r="A28" i="38"/>
  <c r="G27" i="33"/>
  <c r="H27" i="38"/>
  <c r="F27" i="33"/>
  <c r="G27" i="38"/>
  <c r="C7" i="52"/>
  <c r="V7" i="52"/>
  <c r="E27" i="33"/>
  <c r="F27" i="38"/>
  <c r="B7" i="52"/>
  <c r="D27" i="33"/>
  <c r="C27" i="38"/>
  <c r="B27" i="38"/>
  <c r="A27" i="33"/>
  <c r="A27" i="38"/>
  <c r="G26" i="33"/>
  <c r="H26" i="38"/>
  <c r="F26" i="33"/>
  <c r="G26" i="38"/>
  <c r="C6" i="52"/>
  <c r="V6" i="52"/>
  <c r="E26" i="33"/>
  <c r="F26" i="38"/>
  <c r="B6" i="52"/>
  <c r="D26" i="33"/>
  <c r="C26" i="38"/>
  <c r="B26" i="38"/>
  <c r="A26" i="33"/>
  <c r="A26" i="38"/>
  <c r="G25" i="33"/>
  <c r="H25" i="38"/>
  <c r="F25" i="33"/>
  <c r="G25" i="38"/>
  <c r="C5" i="52"/>
  <c r="V5" i="52"/>
  <c r="E25" i="33"/>
  <c r="F25" i="38"/>
  <c r="B5" i="52"/>
  <c r="D25" i="33"/>
  <c r="C25" i="38"/>
  <c r="B25" i="38"/>
  <c r="A25" i="33"/>
  <c r="A25" i="38"/>
  <c r="G24" i="33"/>
  <c r="H24" i="38"/>
  <c r="F24" i="33"/>
  <c r="G24" i="38"/>
  <c r="E24" i="33"/>
  <c r="F24" i="38"/>
  <c r="D24" i="33"/>
  <c r="C24" i="38"/>
  <c r="B24" i="38"/>
  <c r="A24" i="33"/>
  <c r="A24" i="38"/>
  <c r="G23" i="33"/>
  <c r="H23" i="38"/>
  <c r="F23" i="33"/>
  <c r="G23" i="38"/>
  <c r="E23" i="33"/>
  <c r="F23" i="38"/>
  <c r="D23" i="33"/>
  <c r="C23" i="38"/>
  <c r="B23" i="38"/>
  <c r="A23" i="33"/>
  <c r="A23" i="38"/>
  <c r="G22" i="33"/>
  <c r="H22" i="38"/>
  <c r="F22" i="33"/>
  <c r="G22" i="38"/>
  <c r="E22" i="33"/>
  <c r="F22" i="38"/>
  <c r="D22" i="33"/>
  <c r="C22" i="38"/>
  <c r="B22" i="38"/>
  <c r="A22" i="33"/>
  <c r="A22" i="38"/>
  <c r="G21" i="33"/>
  <c r="H21" i="38"/>
  <c r="F21" i="33"/>
  <c r="G21" i="38"/>
  <c r="E21" i="33"/>
  <c r="F21" i="38"/>
  <c r="D21" i="33"/>
  <c r="C21" i="38"/>
  <c r="B21" i="38"/>
  <c r="A21" i="33"/>
  <c r="A21" i="38"/>
  <c r="G20" i="33"/>
  <c r="H20" i="38"/>
  <c r="F20" i="33"/>
  <c r="G20" i="38"/>
  <c r="E20" i="33"/>
  <c r="F20" i="38"/>
  <c r="D20" i="33"/>
  <c r="C20" i="38"/>
  <c r="B20" i="38"/>
  <c r="A20" i="33"/>
  <c r="A20" i="38"/>
  <c r="G19" i="33"/>
  <c r="H19" i="38"/>
  <c r="F19" i="33"/>
  <c r="G19" i="38"/>
  <c r="E19" i="33"/>
  <c r="F19" i="38"/>
  <c r="D19" i="33"/>
  <c r="C19" i="38"/>
  <c r="B19" i="38"/>
  <c r="A19" i="33"/>
  <c r="A19" i="38"/>
  <c r="G18" i="33"/>
  <c r="H18" i="38"/>
  <c r="F18" i="33"/>
  <c r="G18" i="38"/>
  <c r="E18" i="33"/>
  <c r="F18" i="38"/>
  <c r="D18" i="33"/>
  <c r="C18" i="38"/>
  <c r="B18" i="38"/>
  <c r="A18" i="33"/>
  <c r="A18" i="38"/>
  <c r="G17" i="33"/>
  <c r="H17" i="38"/>
  <c r="F17" i="33"/>
  <c r="G17" i="38"/>
  <c r="E17" i="33"/>
  <c r="F17" i="38"/>
  <c r="D17" i="33"/>
  <c r="C17" i="38"/>
  <c r="B17" i="38"/>
  <c r="A17" i="33"/>
  <c r="A17" i="38"/>
  <c r="G16" i="33"/>
  <c r="H16" i="38"/>
  <c r="F16" i="33"/>
  <c r="G16" i="38"/>
  <c r="E16" i="33"/>
  <c r="F16" i="38"/>
  <c r="D16" i="33"/>
  <c r="C16" i="38"/>
  <c r="B16" i="38"/>
  <c r="A16" i="33"/>
  <c r="A16" i="38"/>
  <c r="G15" i="33"/>
  <c r="H15" i="38"/>
  <c r="F15" i="33"/>
  <c r="G15" i="38"/>
  <c r="E15" i="33"/>
  <c r="F15" i="38"/>
  <c r="D15" i="33"/>
  <c r="C15" i="38"/>
  <c r="B15" i="38"/>
  <c r="A15" i="33"/>
  <c r="A15" i="38"/>
  <c r="G14" i="33"/>
  <c r="H14" i="38"/>
  <c r="F14" i="33"/>
  <c r="G14" i="38"/>
  <c r="E14" i="33"/>
  <c r="F14" i="38"/>
  <c r="D14" i="33"/>
  <c r="C14" i="38"/>
  <c r="B14" i="38"/>
  <c r="A14" i="33"/>
  <c r="A14" i="38"/>
  <c r="G13" i="33"/>
  <c r="H13" i="38"/>
  <c r="F13" i="33"/>
  <c r="G13" i="38"/>
  <c r="E13" i="33"/>
  <c r="F13" i="38"/>
  <c r="D13" i="33"/>
  <c r="C13" i="38"/>
  <c r="B13" i="38"/>
  <c r="A13" i="33"/>
  <c r="A13" i="38"/>
  <c r="G12" i="33"/>
  <c r="H12" i="38"/>
  <c r="F12" i="33"/>
  <c r="G12" i="38"/>
  <c r="E12" i="33"/>
  <c r="F12" i="38"/>
  <c r="D12" i="33"/>
  <c r="C12" i="38"/>
  <c r="B12" i="38"/>
  <c r="A12" i="33"/>
  <c r="A12" i="38"/>
  <c r="G11" i="33"/>
  <c r="H11" i="38"/>
  <c r="F11" i="33"/>
  <c r="G11" i="38"/>
  <c r="E11" i="33"/>
  <c r="F11" i="38"/>
  <c r="D11" i="33"/>
  <c r="C11" i="38"/>
  <c r="B11" i="38"/>
  <c r="A11" i="33"/>
  <c r="A11" i="38"/>
  <c r="G10" i="33"/>
  <c r="H10" i="38"/>
  <c r="F10" i="33"/>
  <c r="G10" i="38"/>
  <c r="E10" i="33"/>
  <c r="F10" i="38"/>
  <c r="D10" i="33"/>
  <c r="C10" i="38"/>
  <c r="B10" i="38"/>
  <c r="A10" i="33"/>
  <c r="A10" i="38"/>
  <c r="G9" i="33"/>
  <c r="H9" i="38"/>
  <c r="F9" i="33"/>
  <c r="G9" i="38"/>
  <c r="E9" i="33"/>
  <c r="F9" i="38"/>
  <c r="D9" i="33"/>
  <c r="C9" i="38"/>
  <c r="B9" i="38"/>
  <c r="A9" i="33"/>
  <c r="A9" i="38"/>
  <c r="G8" i="33"/>
  <c r="H8" i="38"/>
  <c r="F8" i="33"/>
  <c r="G8" i="38"/>
  <c r="E8" i="33"/>
  <c r="F8" i="38"/>
  <c r="D8" i="33"/>
  <c r="C8" i="38"/>
  <c r="B8" i="38"/>
  <c r="A8" i="33"/>
  <c r="A8" i="38"/>
  <c r="G7" i="33"/>
  <c r="H7" i="38"/>
  <c r="F7" i="33"/>
  <c r="G7" i="38"/>
  <c r="E7" i="33"/>
  <c r="F7" i="38"/>
  <c r="D7" i="33"/>
  <c r="C7" i="38"/>
  <c r="B7" i="38"/>
  <c r="A7" i="33"/>
  <c r="A7" i="38"/>
  <c r="G6" i="33"/>
  <c r="H6" i="38"/>
  <c r="F6" i="33"/>
  <c r="G6" i="38"/>
  <c r="E6" i="33"/>
  <c r="F6" i="38"/>
  <c r="D6" i="33"/>
  <c r="C6" i="38"/>
  <c r="B6" i="38"/>
  <c r="A6" i="33"/>
  <c r="A6" i="38"/>
  <c r="G5" i="33"/>
  <c r="H5" i="38"/>
  <c r="F5" i="33"/>
  <c r="G5" i="38"/>
  <c r="E5" i="33"/>
  <c r="F5" i="38"/>
  <c r="D5" i="33"/>
  <c r="C5" i="38"/>
  <c r="B5" i="38"/>
  <c r="A5" i="33"/>
  <c r="A5" i="38"/>
  <c r="H29" i="33"/>
  <c r="B29" i="33"/>
  <c r="H28" i="33"/>
  <c r="B28" i="33"/>
  <c r="H27" i="33"/>
  <c r="B27" i="33"/>
  <c r="H26" i="33"/>
  <c r="B26" i="33"/>
  <c r="H25" i="33"/>
  <c r="B25" i="33"/>
  <c r="H24" i="33"/>
  <c r="B24" i="33"/>
  <c r="H23" i="33"/>
  <c r="B23" i="33"/>
  <c r="H22" i="33"/>
  <c r="B22" i="33"/>
  <c r="H21" i="33"/>
  <c r="B21" i="33"/>
  <c r="H20" i="33"/>
  <c r="B20" i="33"/>
  <c r="H19" i="33"/>
  <c r="B19" i="33"/>
  <c r="H18" i="33"/>
  <c r="B18" i="33"/>
  <c r="H17" i="33"/>
  <c r="B17" i="33"/>
  <c r="H16" i="33"/>
  <c r="B16" i="33"/>
  <c r="H15" i="33"/>
  <c r="B15" i="33"/>
  <c r="H14" i="33"/>
  <c r="B14" i="33"/>
  <c r="H13" i="33"/>
  <c r="B13" i="33"/>
  <c r="H12" i="33"/>
  <c r="B12" i="33"/>
  <c r="H11" i="33"/>
  <c r="B11" i="33"/>
  <c r="H10" i="33"/>
  <c r="B10" i="33"/>
  <c r="H9" i="33"/>
  <c r="B9" i="33"/>
  <c r="H8" i="33"/>
  <c r="B8" i="33"/>
  <c r="H7" i="33"/>
  <c r="B7" i="33"/>
  <c r="H6" i="33"/>
  <c r="B6" i="33"/>
  <c r="H5" i="33"/>
  <c r="B5" i="33"/>
  <c r="V36" i="52"/>
  <c r="B36" i="52"/>
  <c r="V35" i="52"/>
  <c r="B35" i="52"/>
  <c r="V34" i="52"/>
  <c r="B34" i="52"/>
  <c r="V33" i="52"/>
  <c r="B33" i="52"/>
  <c r="V32" i="52"/>
  <c r="B32" i="52"/>
  <c r="V31" i="52"/>
  <c r="B31" i="52"/>
  <c r="V30" i="52"/>
  <c r="B30" i="52"/>
  <c r="V29" i="52"/>
  <c r="B29" i="52"/>
  <c r="V28" i="52"/>
  <c r="B28" i="52"/>
  <c r="V27" i="52"/>
  <c r="B27" i="52"/>
  <c r="V26" i="52"/>
  <c r="B26" i="52"/>
  <c r="V25" i="52"/>
  <c r="B25" i="52"/>
  <c r="C24" i="52"/>
  <c r="V24" i="52"/>
  <c r="U24" i="52"/>
  <c r="T24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B24" i="52"/>
  <c r="C23" i="52"/>
  <c r="V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B23" i="52"/>
  <c r="C22" i="52"/>
  <c r="V22" i="52"/>
  <c r="U22" i="52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B22" i="52"/>
  <c r="C21" i="52"/>
  <c r="V21" i="52"/>
  <c r="U21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B21" i="52"/>
  <c r="C20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B20" i="52"/>
  <c r="C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B19" i="52"/>
  <c r="C18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B18" i="52"/>
  <c r="C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B17" i="52"/>
  <c r="C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B16" i="52"/>
  <c r="C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B15" i="52"/>
  <c r="C14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B14" i="52"/>
  <c r="C13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B13" i="52"/>
  <c r="C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B12" i="52"/>
  <c r="C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B11" i="52"/>
  <c r="C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B10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U8" i="52"/>
  <c r="T8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U7" i="52"/>
  <c r="T7" i="52"/>
  <c r="S7" i="52"/>
  <c r="R7" i="52"/>
  <c r="Q7" i="52"/>
  <c r="P7" i="52"/>
  <c r="O7" i="52"/>
  <c r="N7" i="52"/>
  <c r="M7" i="52"/>
  <c r="L7" i="52"/>
  <c r="K7" i="52"/>
  <c r="J7" i="52"/>
  <c r="I7" i="52"/>
  <c r="H7" i="52"/>
  <c r="G7" i="52"/>
  <c r="F7" i="52"/>
  <c r="E7" i="52"/>
  <c r="D7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A2" i="52"/>
  <c r="AY58" i="108"/>
  <c r="E36" i="110"/>
  <c r="F36" i="110"/>
  <c r="AS56" i="108"/>
  <c r="AY59" i="108"/>
  <c r="E5" i="110"/>
  <c r="F5" i="110"/>
  <c r="E41" i="110"/>
  <c r="E53" i="110"/>
  <c r="AL13" i="108"/>
  <c r="AY55" i="108"/>
  <c r="AY47" i="108"/>
  <c r="AL34" i="108"/>
  <c r="AL27" i="108"/>
  <c r="AL25" i="108"/>
  <c r="AY45" i="108"/>
  <c r="AI58" i="108"/>
  <c r="AI61" i="108"/>
  <c r="AY53" i="108"/>
  <c r="AL10" i="108"/>
  <c r="AL39" i="108"/>
  <c r="AL23" i="108"/>
  <c r="AY24" i="108"/>
  <c r="AL11" i="108"/>
  <c r="AL9" i="108"/>
  <c r="AL7" i="108"/>
  <c r="AL35" i="108"/>
  <c r="AL26" i="108"/>
  <c r="AL24" i="108"/>
  <c r="AL54" i="108"/>
  <c r="AL52" i="108"/>
  <c r="AL50" i="108"/>
  <c r="AL48" i="108"/>
  <c r="AL46" i="108"/>
  <c r="AL44" i="108"/>
  <c r="AL42" i="108"/>
  <c r="AY29" i="108"/>
  <c r="D4" i="110"/>
  <c r="AY25" i="108"/>
  <c r="AL49" i="108"/>
  <c r="AL47" i="108"/>
  <c r="AL45" i="108"/>
  <c r="AL43" i="108"/>
  <c r="AL41" i="108"/>
  <c r="AL33" i="108"/>
  <c r="AL32" i="108"/>
  <c r="AY50" i="108"/>
  <c r="AI57" i="108"/>
  <c r="AI59" i="108"/>
  <c r="AL20" i="108"/>
  <c r="AL18" i="108"/>
  <c r="AL16" i="108"/>
  <c r="AI60" i="108"/>
  <c r="D42" i="110"/>
  <c r="AL21" i="108"/>
  <c r="AL19" i="108"/>
  <c r="AL17" i="108"/>
  <c r="AL31" i="108"/>
  <c r="AL28" i="108"/>
  <c r="AY49" i="108"/>
  <c r="AY44" i="108"/>
  <c r="D40" i="110"/>
  <c r="F35" i="110"/>
  <c r="E32" i="110"/>
  <c r="E4" i="110"/>
  <c r="E43" i="110"/>
  <c r="E50" i="110"/>
  <c r="E38" i="110"/>
  <c r="E51" i="110"/>
  <c r="E39" i="110"/>
  <c r="E52" i="110"/>
  <c r="F52" i="110"/>
  <c r="E3" i="110"/>
  <c r="F3" i="110"/>
  <c r="AL58" i="108"/>
  <c r="E49" i="110"/>
  <c r="AL61" i="108"/>
  <c r="AL60" i="108"/>
  <c r="D44" i="110"/>
  <c r="D6" i="110"/>
  <c r="D7" i="110"/>
  <c r="AV57" i="108"/>
  <c r="E6" i="110"/>
  <c r="AL59" i="108"/>
  <c r="AL57" i="108"/>
  <c r="F51" i="110"/>
  <c r="F53" i="110"/>
  <c r="E40" i="110"/>
  <c r="F40" i="110"/>
  <c r="F41" i="110"/>
  <c r="F38" i="110"/>
  <c r="F39" i="110"/>
  <c r="E37" i="110"/>
  <c r="F34" i="110"/>
  <c r="F32" i="110"/>
  <c r="F50" i="110"/>
  <c r="F37" i="110"/>
  <c r="F6" i="110"/>
  <c r="F43" i="110"/>
  <c r="E42" i="110"/>
  <c r="F42" i="110"/>
  <c r="AY57" i="108"/>
  <c r="F4" i="110"/>
  <c r="E7" i="110"/>
  <c r="F7" i="110"/>
  <c r="E54" i="110"/>
  <c r="F54" i="110"/>
  <c r="F49" i="110"/>
  <c r="E44" i="110"/>
  <c r="F44" i="110"/>
</calcChain>
</file>

<file path=xl/comments1.xml><?xml version="1.0" encoding="utf-8"?>
<comments xmlns="http://schemas.openxmlformats.org/spreadsheetml/2006/main">
  <authors>
    <author>dcossio</author>
    <author>asuarez</author>
  </authors>
  <commentList>
    <comment ref="AI1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I13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I14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I19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I20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F46" authorId="1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<sst xmlns="http://schemas.openxmlformats.org/spreadsheetml/2006/main" count="485" uniqueCount="245">
  <si>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</si>
  <si>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</si>
  <si>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</si>
  <si>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</si>
  <si>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</si>
  <si>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</si>
  <si>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</si>
  <si>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</si>
  <si>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</si>
  <si>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</si>
  <si>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</si>
  <si>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</si>
  <si>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</si>
  <si>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</si>
  <si>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</si>
  <si>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</si>
  <si>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</si>
  <si>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</si>
  <si>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</si>
  <si>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</si>
  <si>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</si>
  <si>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</si>
  <si>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</si>
  <si>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</si>
  <si>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</si>
  <si>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</si>
  <si>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</si>
  <si>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</si>
  <si>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</si>
  <si>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</si>
  <si>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</si>
  <si>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</si>
  <si>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</si>
  <si>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</si>
  <si>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</si>
  <si>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</si>
  <si>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</si>
  <si>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</si>
  <si>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</si>
  <si>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</si>
  <si>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</si>
  <si>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</si>
  <si>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</si>
  <si>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</si>
  <si>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</si>
  <si>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</si>
  <si>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</si>
  <si>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</si>
  <si>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</si>
  <si>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</si>
  <si>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</si>
  <si>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</si>
  <si>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</si>
  <si>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</si>
  <si>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</si>
  <si>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</si>
  <si>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</si>
  <si>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LINEA                                                                          ESTRATEGICA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</si>
  <si>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</si>
  <si>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</si>
  <si>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</si>
  <si>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</si>
  <si>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</si>
  <si>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</si>
  <si>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</si>
  <si>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</si>
  <si>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</si>
  <si>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</si>
  <si>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</si>
  <si>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</si>
  <si>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</si>
  <si>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</si>
  <si>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</si>
  <si>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</si>
  <si>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</si>
  <si>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</si>
  <si>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</si>
  <si>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</si>
  <si>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</si>
  <si>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</si>
  <si>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</si>
  <si>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</si>
  <si>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</si>
  <si>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</si>
  <si>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</si>
  <si>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</si>
  <si>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</si>
  <si>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</si>
  <si>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</si>
  <si>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</si>
  <si>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</si>
  <si>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</si>
  <si>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</si>
  <si>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</si>
  <si>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</si>
  <si>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</si>
  <si>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</si>
  <si>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</si>
  <si>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</si>
  <si>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</si>
  <si>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</si>
  <si>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</si>
  <si>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</si>
  <si>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</si>
  <si>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</si>
  <si>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</si>
  <si>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</si>
  <si>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</si>
  <si>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</si>
  <si>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</si>
  <si>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</si>
  <si>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</si>
  <si>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</si>
  <si>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</si>
  <si>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</si>
  <si>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</si>
  <si>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</si>
  <si>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</si>
  <si>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</si>
  <si>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</si>
  <si>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</si>
  <si>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</si>
  <si>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</si>
  <si>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</si>
  <si>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</si>
  <si>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</si>
  <si>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</si>
  <si>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</si>
  <si>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</si>
  <si>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</si>
  <si>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</si>
  <si>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</si>
  <si>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</si>
  <si>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</si>
  <si>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</si>
  <si>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</si>
  <si>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</si>
  <si>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</si>
  <si>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</si>
  <si>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</si>
  <si>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</si>
  <si>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</si>
  <si>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Calificación de autoevaluación con estándares de acreditación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</si>
  <si>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</si>
  <si>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</si>
  <si>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</si>
  <si>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</si>
  <si>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</si>
  <si>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</si>
  <si>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Porcentaje de cumplimiento del Plan de Mercadeo</t>
  </si>
  <si>
    <t>Resultado equilibrio presupuestal con recaudo.</t>
  </si>
  <si>
    <t>≥1,0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</si>
  <si>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</si>
  <si>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</si>
  <si>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</si>
  <si>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</si>
  <si>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</si>
  <si>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</si>
  <si>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</si>
  <si>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</si>
  <si>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</si>
  <si>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</si>
  <si>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Contribución a la formación del talento humano en salud de la ciudad por convenios docencia servicio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</si>
  <si>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</si>
  <si>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</si>
  <si>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</si>
  <si>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</si>
  <si>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</si>
  <si>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</si>
  <si>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</si>
  <si>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</si>
  <si>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</si>
  <si>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</si>
  <si>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</si>
  <si>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</si>
  <si>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</si>
  <si>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</si>
  <si>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</si>
  <si>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</si>
  <si>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</si>
  <si>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</si>
  <si>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</si>
  <si>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</si>
  <si>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</si>
  <si>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</si>
  <si>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</si>
  <si>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</si>
  <si>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</si>
  <si>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</si>
  <si>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</si>
  <si>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</si>
  <si>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</si>
  <si>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</si>
  <si>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</si>
  <si>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</si>
  <si>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</si>
  <si>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</si>
  <si>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</si>
  <si>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</si>
  <si>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</si>
  <si>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</si>
  <si>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</si>
  <si>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</si>
  <si>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</si>
  <si>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</si>
  <si>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</si>
  <si>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</si>
  <si>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</si>
  <si>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</si>
  <si>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</si>
  <si>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</si>
  <si>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</si>
  <si>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</si>
  <si>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</si>
  <si>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</si>
  <si>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</si>
  <si>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</si>
  <si>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</si>
  <si>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</si>
  <si>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</si>
  <si>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</si>
  <si>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</si>
  <si>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</si>
  <si>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</si>
  <si>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>IMPACTO SOCIAL</t>
  </si>
  <si>
    <t xml:space="preserve">Resultado </t>
  </si>
  <si>
    <t>%</t>
  </si>
  <si>
    <t>Oportunidad en la respuesta a requerimientos del sistema de información (En horas)</t>
  </si>
  <si>
    <t>Manifestaciones con respuesta antes de 10 días</t>
  </si>
  <si>
    <t>Cobertura del despliegue de los temas institucionales</t>
  </si>
  <si>
    <t>% Cumplimiento Plan de Mejoramiento de la Contraloría y de entes de Vigilancia y Control</t>
  </si>
  <si>
    <t>% Cumplimiento Plan de Mejora</t>
  </si>
  <si>
    <t>Proporción de continuidad en la atención de la población priorizada</t>
  </si>
  <si>
    <t>Indice CAP (Conocimiento, actitudes y prácticas)</t>
  </si>
  <si>
    <t>% de la recuperación de cartera (No incluye capita)</t>
  </si>
  <si>
    <t>% De actividades de socialización del código disciplinario único implementadas</t>
  </si>
  <si>
    <t>Proyectos de investigación finalizados presentados en eventos o publicados</t>
  </si>
  <si>
    <t>% De procesos ajustados producto de los resultados de las investigaciones</t>
  </si>
  <si>
    <t>% Satisfacción del Cliente interno en cuanto al sistema de información</t>
  </si>
  <si>
    <t>% Satisfacción del usuario, familia y grupos de interés.</t>
  </si>
  <si>
    <t>Número</t>
  </si>
  <si>
    <t>MIRAR SI ME FALTA ALGUN INDICADOR EN EL BALANCED</t>
  </si>
  <si>
    <t>2017                                                     Enero - junio</t>
  </si>
  <si>
    <t>SEGUIMIENTO TABLERO DE MANDO ENERO - JUNIO DE 2017</t>
  </si>
  <si>
    <t>ESE METROSALUD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</si>
</sst>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%"/>
  </numFmts>
  <fonts count="3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24"/>
      <name val="Century Gothic"/>
      <family val="2"/>
    </font>
    <font>
      <sz val="10"/>
      <color theme="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000000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6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sz val="14"/>
      <name val="Arial"/>
      <family val="2"/>
    </font>
    <font>
      <b/>
      <sz val="26"/>
      <name val="Century Gothic"/>
      <family val="2"/>
    </font>
    <font>
      <b/>
      <sz val="2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11" fillId="0" borderId="0" xfId="0" applyFont="1" applyBorder="1" applyAlignment="1" applyProtection="1">
      <alignment horizontal="center"/>
      <protection hidden="1"/>
    </xf>
    <xf numFmtId="0" fontId="12" fillId="3" borderId="4" xfId="0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9" fontId="14" fillId="3" borderId="18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10" fontId="15" fillId="2" borderId="4" xfId="0" applyNumberFormat="1" applyFont="1" applyFill="1" applyBorder="1" applyAlignment="1" applyProtection="1">
      <alignment horizontal="center"/>
      <protection hidden="1"/>
    </xf>
    <xf numFmtId="9" fontId="15" fillId="2" borderId="4" xfId="0" applyNumberFormat="1" applyFont="1" applyFill="1" applyBorder="1" applyAlignment="1" applyProtection="1">
      <alignment horizontal="center"/>
      <protection hidden="1"/>
    </xf>
    <xf numFmtId="10" fontId="14" fillId="3" borderId="18" xfId="0" applyNumberFormat="1" applyFont="1" applyFill="1" applyBorder="1" applyAlignment="1" applyProtection="1">
      <alignment horizontal="center"/>
      <protection hidden="1"/>
    </xf>
    <xf numFmtId="10" fontId="12" fillId="3" borderId="4" xfId="0" applyNumberFormat="1" applyFont="1" applyFill="1" applyBorder="1" applyAlignment="1" applyProtection="1">
      <alignment horizontal="center"/>
      <protection hidden="1"/>
    </xf>
    <xf numFmtId="9" fontId="12" fillId="4" borderId="4" xfId="0" applyNumberFormat="1" applyFont="1" applyFill="1" applyBorder="1" applyAlignment="1" applyProtection="1">
      <alignment horizontal="center"/>
      <protection hidden="1"/>
    </xf>
    <xf numFmtId="0" fontId="11" fillId="0" borderId="4" xfId="0" applyNumberFormat="1" applyFont="1" applyBorder="1" applyAlignment="1" applyProtection="1">
      <alignment horizontal="center" vertical="center" wrapText="1"/>
      <protection hidden="1"/>
    </xf>
    <xf numFmtId="10" fontId="15" fillId="2" borderId="4" xfId="3" applyNumberFormat="1" applyFont="1" applyFill="1" applyBorder="1" applyAlignment="1" applyProtection="1">
      <alignment horizontal="center"/>
      <protection hidden="1"/>
    </xf>
    <xf numFmtId="10" fontId="14" fillId="6" borderId="18" xfId="0" applyNumberFormat="1" applyFont="1" applyFill="1" applyBorder="1" applyAlignment="1" applyProtection="1">
      <alignment horizontal="center"/>
      <protection hidden="1"/>
    </xf>
    <xf numFmtId="0" fontId="16" fillId="3" borderId="4" xfId="0" applyFont="1" applyFill="1" applyBorder="1" applyAlignment="1" applyProtection="1">
      <alignment horizontal="center"/>
      <protection hidden="1"/>
    </xf>
    <xf numFmtId="10" fontId="16" fillId="3" borderId="4" xfId="0" applyNumberFormat="1" applyFont="1" applyFill="1" applyBorder="1" applyAlignment="1" applyProtection="1">
      <alignment horizontal="center"/>
      <protection hidden="1"/>
    </xf>
    <xf numFmtId="10" fontId="13" fillId="0" borderId="4" xfId="0" applyNumberFormat="1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21" fillId="0" borderId="4" xfId="0" applyFont="1" applyBorder="1" applyProtection="1">
      <protection hidden="1"/>
    </xf>
    <xf numFmtId="0" fontId="21" fillId="3" borderId="4" xfId="0" applyFont="1" applyFill="1" applyBorder="1" applyAlignment="1" applyProtection="1">
      <alignment horizontal="center" vertical="center"/>
      <protection hidden="1"/>
    </xf>
    <xf numFmtId="2" fontId="20" fillId="5" borderId="4" xfId="0" applyNumberFormat="1" applyFont="1" applyFill="1" applyBorder="1" applyAlignment="1" applyProtection="1">
      <alignment horizontal="center" vertical="center"/>
      <protection hidden="1"/>
    </xf>
    <xf numFmtId="166" fontId="21" fillId="5" borderId="4" xfId="0" applyNumberFormat="1" applyFont="1" applyFill="1" applyBorder="1" applyAlignment="1" applyProtection="1">
      <alignment horizontal="center" vertical="center"/>
      <protection hidden="1"/>
    </xf>
    <xf numFmtId="9" fontId="20" fillId="5" borderId="4" xfId="0" applyNumberFormat="1" applyFont="1" applyFill="1" applyBorder="1" applyAlignment="1" applyProtection="1">
      <alignment horizontal="center" vertical="center"/>
      <protection hidden="1"/>
    </xf>
    <xf numFmtId="164" fontId="20" fillId="5" borderId="4" xfId="0" applyNumberFormat="1" applyFont="1" applyFill="1" applyBorder="1" applyAlignment="1" applyProtection="1">
      <alignment horizontal="center" vertical="center"/>
      <protection hidden="1"/>
    </xf>
    <xf numFmtId="10" fontId="21" fillId="5" borderId="4" xfId="0" applyNumberFormat="1" applyFont="1" applyFill="1" applyBorder="1" applyAlignment="1" applyProtection="1">
      <alignment horizontal="center" vertical="center"/>
      <protection hidden="1"/>
    </xf>
    <xf numFmtId="9" fontId="21" fillId="3" borderId="4" xfId="0" applyNumberFormat="1" applyFont="1" applyFill="1" applyBorder="1" applyAlignment="1" applyProtection="1">
      <alignment horizontal="center" vertical="center"/>
      <protection hidden="1"/>
    </xf>
    <xf numFmtId="10" fontId="20" fillId="5" borderId="4" xfId="0" applyNumberFormat="1" applyFont="1" applyFill="1" applyBorder="1" applyAlignment="1" applyProtection="1">
      <alignment horizontal="center" vertic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hidden="1"/>
    </xf>
    <xf numFmtId="9" fontId="17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7" borderId="4" xfId="3" applyFont="1" applyFill="1" applyBorder="1" applyAlignment="1" applyProtection="1">
      <alignment horizontal="center" vertical="center"/>
      <protection hidden="1"/>
    </xf>
    <xf numFmtId="166" fontId="21" fillId="3" borderId="4" xfId="0" applyNumberFormat="1" applyFont="1" applyFill="1" applyBorder="1" applyAlignment="1" applyProtection="1">
      <alignment horizontal="center" vertical="center"/>
      <protection hidden="1"/>
    </xf>
    <xf numFmtId="9" fontId="21" fillId="0" borderId="4" xfId="0" applyNumberFormat="1" applyFont="1" applyBorder="1" applyAlignment="1" applyProtection="1">
      <alignment horizontal="center" vertical="center"/>
      <protection hidden="1"/>
    </xf>
    <xf numFmtId="10" fontId="21" fillId="3" borderId="4" xfId="0" applyNumberFormat="1" applyFont="1" applyFill="1" applyBorder="1" applyAlignment="1" applyProtection="1">
      <alignment horizontal="center" vertical="center"/>
      <protection hidden="1"/>
    </xf>
    <xf numFmtId="9" fontId="21" fillId="4" borderId="4" xfId="0" applyNumberFormat="1" applyFont="1" applyFill="1" applyBorder="1" applyAlignment="1" applyProtection="1">
      <alignment horizontal="center" vertical="center"/>
      <protection hidden="1"/>
    </xf>
    <xf numFmtId="9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7" borderId="4" xfId="2" applyNumberFormat="1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vertical="center" wrapText="1"/>
      <protection hidden="1"/>
    </xf>
    <xf numFmtId="0" fontId="21" fillId="3" borderId="4" xfId="0" applyFont="1" applyFill="1" applyBorder="1" applyProtection="1">
      <protection hidden="1"/>
    </xf>
    <xf numFmtId="0" fontId="21" fillId="3" borderId="4" xfId="0" applyFont="1" applyFill="1" applyBorder="1" applyAlignment="1" applyProtection="1">
      <alignment vertical="center"/>
      <protection hidden="1"/>
    </xf>
    <xf numFmtId="0" fontId="20" fillId="3" borderId="4" xfId="0" applyFont="1" applyFill="1" applyBorder="1" applyAlignment="1" applyProtection="1">
      <alignment vertical="center"/>
      <protection hidden="1"/>
    </xf>
    <xf numFmtId="9" fontId="23" fillId="9" borderId="4" xfId="3" applyFont="1" applyFill="1" applyBorder="1" applyAlignment="1" applyProtection="1">
      <alignment horizontal="center" vertical="center"/>
      <protection hidden="1"/>
    </xf>
    <xf numFmtId="9" fontId="21" fillId="0" borderId="4" xfId="0" applyNumberFormat="1" applyFont="1" applyBorder="1" applyAlignment="1" applyProtection="1">
      <alignment horizontal="center" vertical="center" wrapText="1"/>
      <protection hidden="1"/>
    </xf>
    <xf numFmtId="9" fontId="21" fillId="2" borderId="4" xfId="0" applyNumberFormat="1" applyFont="1" applyFill="1" applyBorder="1" applyAlignment="1" applyProtection="1">
      <alignment horizontal="center" vertical="center"/>
      <protection hidden="1"/>
    </xf>
    <xf numFmtId="10" fontId="19" fillId="0" borderId="0" xfId="0" applyNumberFormat="1" applyFont="1" applyProtection="1">
      <protection hidden="1"/>
    </xf>
    <xf numFmtId="9" fontId="19" fillId="0" borderId="0" xfId="3" applyFont="1" applyProtection="1">
      <protection hidden="1"/>
    </xf>
    <xf numFmtId="0" fontId="21" fillId="0" borderId="4" xfId="0" applyFont="1" applyBorder="1" applyAlignment="1" applyProtection="1">
      <alignment horizontal="center"/>
      <protection hidden="1"/>
    </xf>
    <xf numFmtId="165" fontId="20" fillId="5" borderId="4" xfId="0" applyNumberFormat="1" applyFont="1" applyFill="1" applyBorder="1" applyAlignment="1" applyProtection="1">
      <alignment horizontal="center" vertical="center"/>
      <protection hidden="1"/>
    </xf>
    <xf numFmtId="10" fontId="19" fillId="0" borderId="0" xfId="3" applyNumberFormat="1" applyFont="1" applyProtection="1">
      <protection hidden="1"/>
    </xf>
    <xf numFmtId="0" fontId="22" fillId="3" borderId="4" xfId="0" applyFont="1" applyFill="1" applyBorder="1" applyAlignment="1" applyProtection="1">
      <alignment vertical="center" wrapText="1"/>
      <protection hidden="1"/>
    </xf>
    <xf numFmtId="9" fontId="21" fillId="5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4" xfId="2" applyFont="1" applyFill="1" applyBorder="1" applyAlignment="1" applyProtection="1">
      <alignment horizontal="center" vertical="center" wrapText="1"/>
      <protection hidden="1"/>
    </xf>
    <xf numFmtId="9" fontId="17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17" fillId="3" borderId="4" xfId="2" applyNumberFormat="1" applyFont="1" applyFill="1" applyBorder="1" applyAlignment="1" applyProtection="1">
      <alignment horizontal="center" vertical="center" wrapText="1"/>
      <protection hidden="1"/>
    </xf>
    <xf numFmtId="10" fontId="17" fillId="5" borderId="4" xfId="2" applyNumberFormat="1" applyFont="1" applyFill="1" applyBorder="1" applyAlignment="1" applyProtection="1">
      <alignment horizontal="center" vertical="center" wrapText="1"/>
      <protection hidden="1"/>
    </xf>
    <xf numFmtId="164" fontId="21" fillId="5" borderId="4" xfId="0" applyNumberFormat="1" applyFont="1" applyFill="1" applyBorder="1" applyAlignment="1" applyProtection="1">
      <alignment horizontal="center" vertical="center"/>
      <protection hidden="1"/>
    </xf>
    <xf numFmtId="167" fontId="21" fillId="5" borderId="4" xfId="0" applyNumberFormat="1" applyFont="1" applyFill="1" applyBorder="1" applyAlignment="1" applyProtection="1">
      <alignment horizontal="center" vertical="center"/>
      <protection hidden="1"/>
    </xf>
    <xf numFmtId="9" fontId="17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17" fillId="5" borderId="4" xfId="2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horizontal="center"/>
      <protection hidden="1"/>
    </xf>
    <xf numFmtId="9" fontId="21" fillId="3" borderId="4" xfId="0" applyNumberFormat="1" applyFont="1" applyFill="1" applyBorder="1" applyAlignment="1" applyProtection="1">
      <alignment horizontal="center"/>
      <protection hidden="1"/>
    </xf>
    <xf numFmtId="9" fontId="21" fillId="0" borderId="4" xfId="0" applyNumberFormat="1" applyFont="1" applyBorder="1" applyAlignment="1" applyProtection="1">
      <alignment horizontal="center"/>
      <protection hidden="1"/>
    </xf>
    <xf numFmtId="167" fontId="19" fillId="0" borderId="0" xfId="0" applyNumberFormat="1" applyFont="1" applyProtection="1">
      <protection hidden="1"/>
    </xf>
    <xf numFmtId="9" fontId="21" fillId="3" borderId="4" xfId="0" applyNumberFormat="1" applyFont="1" applyFill="1" applyBorder="1" applyProtection="1">
      <protection hidden="1"/>
    </xf>
    <xf numFmtId="164" fontId="17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17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3" borderId="4" xfId="1" applyFont="1" applyFill="1" applyBorder="1" applyAlignment="1" applyProtection="1">
      <alignment vertical="center" wrapText="1"/>
      <protection hidden="1"/>
    </xf>
    <xf numFmtId="0" fontId="24" fillId="4" borderId="4" xfId="0" applyFont="1" applyFill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1" fontId="21" fillId="2" borderId="4" xfId="0" applyNumberFormat="1" applyFont="1" applyFill="1" applyBorder="1" applyAlignment="1" applyProtection="1">
      <alignment horizontal="center" vertical="center"/>
      <protection hidden="1"/>
    </xf>
    <xf numFmtId="10" fontId="21" fillId="5" borderId="4" xfId="3" applyNumberFormat="1" applyFont="1" applyFill="1" applyBorder="1" applyAlignment="1" applyProtection="1">
      <alignment horizontal="center" vertical="center"/>
      <protection hidden="1"/>
    </xf>
    <xf numFmtId="9" fontId="24" fillId="4" borderId="4" xfId="0" applyNumberFormat="1" applyFont="1" applyFill="1" applyBorder="1" applyAlignment="1" applyProtection="1">
      <alignment horizontal="center"/>
      <protection hidden="1"/>
    </xf>
    <xf numFmtId="9" fontId="24" fillId="0" borderId="4" xfId="0" applyNumberFormat="1" applyFont="1" applyBorder="1" applyAlignment="1" applyProtection="1">
      <alignment horizontal="center"/>
      <protection hidden="1"/>
    </xf>
    <xf numFmtId="9" fontId="24" fillId="3" borderId="4" xfId="0" applyNumberFormat="1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 wrapText="1"/>
      <protection hidden="1"/>
    </xf>
    <xf numFmtId="0" fontId="21" fillId="4" borderId="4" xfId="0" applyFont="1" applyFill="1" applyBorder="1" applyAlignment="1" applyProtection="1">
      <alignment horizontal="center"/>
      <protection hidden="1"/>
    </xf>
    <xf numFmtId="0" fontId="21" fillId="3" borderId="4" xfId="0" applyFont="1" applyFill="1" applyBorder="1" applyAlignment="1" applyProtection="1">
      <protection hidden="1"/>
    </xf>
    <xf numFmtId="0" fontId="21" fillId="0" borderId="0" xfId="0" applyFont="1" applyProtection="1">
      <protection hidden="1"/>
    </xf>
    <xf numFmtId="0" fontId="21" fillId="0" borderId="48" xfId="0" applyFont="1" applyBorder="1" applyProtection="1">
      <protection hidden="1"/>
    </xf>
    <xf numFmtId="10" fontId="17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22" fillId="3" borderId="17" xfId="2" applyFont="1" applyFill="1" applyBorder="1" applyAlignment="1" applyProtection="1">
      <alignment horizontal="center" vertical="center" wrapText="1"/>
      <protection hidden="1"/>
    </xf>
    <xf numFmtId="0" fontId="21" fillId="3" borderId="17" xfId="0" applyFont="1" applyFill="1" applyBorder="1" applyProtection="1">
      <protection hidden="1"/>
    </xf>
    <xf numFmtId="0" fontId="20" fillId="3" borderId="17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0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25" fillId="8" borderId="4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48" xfId="0" applyFont="1" applyBorder="1" applyProtection="1">
      <protection hidden="1"/>
    </xf>
    <xf numFmtId="10" fontId="2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28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7" fillId="2" borderId="4" xfId="2" applyFont="1" applyFill="1" applyBorder="1" applyAlignment="1" applyProtection="1">
      <alignment horizontal="center" vertical="center" wrapText="1"/>
      <protection hidden="1"/>
    </xf>
    <xf numFmtId="9" fontId="23" fillId="9" borderId="4" xfId="2" applyNumberFormat="1" applyFont="1" applyFill="1" applyBorder="1" applyAlignment="1" applyProtection="1">
      <alignment horizontal="center" vertical="center" wrapText="1"/>
      <protection hidden="1"/>
    </xf>
    <xf numFmtId="10" fontId="29" fillId="10" borderId="0" xfId="0" applyNumberFormat="1" applyFont="1" applyFill="1" applyAlignment="1" applyProtection="1">
      <alignment horizontal="center"/>
      <protection hidden="1"/>
    </xf>
    <xf numFmtId="9" fontId="16" fillId="4" borderId="4" xfId="0" applyNumberFormat="1" applyFont="1" applyFill="1" applyBorder="1" applyAlignment="1" applyProtection="1">
      <alignment horizontal="center"/>
      <protection hidden="1"/>
    </xf>
    <xf numFmtId="0" fontId="30" fillId="3" borderId="4" xfId="0" applyFont="1" applyFill="1" applyBorder="1" applyAlignment="1" applyProtection="1">
      <alignment horizontal="center"/>
      <protection hidden="1"/>
    </xf>
    <xf numFmtId="0" fontId="31" fillId="3" borderId="4" xfId="2" applyFont="1" applyFill="1" applyBorder="1" applyAlignment="1" applyProtection="1">
      <alignment horizontal="center" vertical="center" wrapText="1"/>
      <protection hidden="1"/>
    </xf>
    <xf numFmtId="0" fontId="22" fillId="2" borderId="4" xfId="0" applyFont="1" applyFill="1" applyBorder="1" applyAlignment="1" applyProtection="1">
      <alignment horizontal="center" vertical="center"/>
      <protection hidden="1"/>
    </xf>
    <xf numFmtId="9" fontId="22" fillId="2" borderId="4" xfId="3" applyFont="1" applyFill="1" applyBorder="1" applyAlignment="1" applyProtection="1">
      <alignment horizontal="center" vertical="center"/>
      <protection hidden="1"/>
    </xf>
    <xf numFmtId="9" fontId="17" fillId="2" borderId="4" xfId="0" applyNumberFormat="1" applyFont="1" applyFill="1" applyBorder="1" applyAlignment="1" applyProtection="1">
      <alignment horizontal="center" vertical="center"/>
      <protection hidden="1"/>
    </xf>
    <xf numFmtId="164" fontId="22" fillId="2" borderId="4" xfId="3" applyNumberFormat="1" applyFont="1" applyFill="1" applyBorder="1" applyAlignment="1" applyProtection="1">
      <alignment horizontal="center" vertical="center"/>
      <protection hidden="1"/>
    </xf>
    <xf numFmtId="9" fontId="22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2" borderId="4" xfId="3" applyNumberFormat="1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9" fontId="17" fillId="6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4" borderId="4" xfId="2" applyNumberFormat="1" applyFont="1" applyFill="1" applyBorder="1" applyAlignment="1" applyProtection="1">
      <alignment horizontal="center" vertical="center" wrapText="1"/>
      <protection hidden="1"/>
    </xf>
    <xf numFmtId="10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9" fontId="32" fillId="0" borderId="4" xfId="0" applyNumberFormat="1" applyFont="1" applyBorder="1" applyAlignment="1" applyProtection="1">
      <alignment horizontal="center" vertical="center"/>
      <protection hidden="1"/>
    </xf>
    <xf numFmtId="10" fontId="17" fillId="3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3" borderId="4" xfId="2" applyNumberFormat="1" applyFont="1" applyFill="1" applyBorder="1" applyAlignment="1" applyProtection="1">
      <alignment horizontal="center" vertical="center" wrapText="1"/>
      <protection hidden="1"/>
    </xf>
    <xf numFmtId="9" fontId="23" fillId="3" borderId="4" xfId="2" applyNumberFormat="1" applyFont="1" applyFill="1" applyBorder="1" applyAlignment="1" applyProtection="1">
      <alignment horizontal="center" vertical="center" wrapText="1"/>
      <protection hidden="1"/>
    </xf>
    <xf numFmtId="166" fontId="17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17" fillId="2" borderId="4" xfId="2" applyNumberFormat="1" applyFont="1" applyFill="1" applyBorder="1" applyAlignment="1" applyProtection="1">
      <alignment horizontal="center" vertical="center" wrapText="1"/>
      <protection hidden="1"/>
    </xf>
    <xf numFmtId="10" fontId="23" fillId="9" borderId="4" xfId="3" applyNumberFormat="1" applyFont="1" applyFill="1" applyBorder="1" applyAlignment="1" applyProtection="1">
      <alignment horizontal="center" vertical="center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12" fontId="21" fillId="0" borderId="4" xfId="0" applyNumberFormat="1" applyFont="1" applyBorder="1" applyAlignment="1" applyProtection="1">
      <alignment horizontal="center" vertical="center" wrapText="1"/>
      <protection hidden="1"/>
    </xf>
    <xf numFmtId="12" fontId="17" fillId="0" borderId="4" xfId="0" applyNumberFormat="1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12" fontId="2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20" fillId="3" borderId="4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center"/>
      <protection hidden="1"/>
    </xf>
    <xf numFmtId="0" fontId="20" fillId="3" borderId="4" xfId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20" fillId="3" borderId="19" xfId="1" applyFont="1" applyFill="1" applyBorder="1" applyAlignment="1" applyProtection="1">
      <alignment horizontal="center" vertical="center" wrapText="1"/>
      <protection hidden="1"/>
    </xf>
    <xf numFmtId="0" fontId="20" fillId="3" borderId="17" xfId="1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12" fontId="17" fillId="0" borderId="4" xfId="0" applyNumberFormat="1" applyFont="1" applyBorder="1" applyAlignment="1" applyProtection="1">
      <alignment horizontal="center" vertical="center" wrapText="1"/>
      <protection hidden="1"/>
    </xf>
    <xf numFmtId="12" fontId="21" fillId="0" borderId="4" xfId="0" applyNumberFormat="1" applyFont="1" applyBorder="1" applyAlignment="1" applyProtection="1">
      <alignment horizontal="center" vertical="center" wrapText="1"/>
      <protection hidden="1"/>
    </xf>
    <xf numFmtId="12" fontId="21" fillId="2" borderId="4" xfId="0" applyNumberFormat="1" applyFont="1" applyFill="1" applyBorder="1" applyAlignment="1" applyProtection="1">
      <alignment horizontal="center" vertical="center" wrapText="1"/>
      <protection hidden="1"/>
    </xf>
    <xf numFmtId="12" fontId="21" fillId="0" borderId="19" xfId="0" applyNumberFormat="1" applyFont="1" applyBorder="1" applyAlignment="1" applyProtection="1">
      <alignment horizontal="center" vertical="center" wrapText="1"/>
      <protection hidden="1"/>
    </xf>
    <xf numFmtId="12" fontId="21" fillId="0" borderId="17" xfId="0" applyNumberFormat="1" applyFont="1" applyBorder="1" applyAlignment="1" applyProtection="1">
      <alignment horizontal="center" vertical="center" wrapText="1"/>
      <protection hidden="1"/>
    </xf>
    <xf numFmtId="12" fontId="20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19" xfId="0" applyFont="1" applyFill="1" applyBorder="1" applyAlignment="1" applyProtection="1">
      <alignment horizontal="center" vertical="center" wrapText="1"/>
      <protection hidden="1"/>
    </xf>
    <xf numFmtId="0" fontId="22" fillId="3" borderId="48" xfId="0" applyFont="1" applyFill="1" applyBorder="1" applyAlignment="1" applyProtection="1">
      <alignment horizontal="center" vertical="center" wrapText="1"/>
      <protection hidden="1"/>
    </xf>
    <xf numFmtId="0" fontId="22" fillId="3" borderId="17" xfId="0" applyFont="1" applyFill="1" applyBorder="1" applyAlignment="1" applyProtection="1">
      <alignment horizontal="center" vertical="center" wrapText="1"/>
      <protection hidden="1"/>
    </xf>
    <xf numFmtId="0" fontId="21" fillId="2" borderId="19" xfId="0" applyFont="1" applyFill="1" applyBorder="1" applyAlignment="1" applyProtection="1">
      <alignment horizontal="center" vertical="center" wrapText="1"/>
      <protection hidden="1"/>
    </xf>
    <xf numFmtId="0" fontId="21" fillId="2" borderId="48" xfId="0" applyFont="1" applyFill="1" applyBorder="1" applyAlignment="1" applyProtection="1">
      <alignment horizontal="center" vertical="center" wrapText="1"/>
      <protection hidden="1"/>
    </xf>
    <xf numFmtId="0" fontId="21" fillId="2" borderId="17" xfId="0" applyFont="1" applyFill="1" applyBorder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8" xfId="0" applyFont="1" applyFill="1" applyBorder="1" applyAlignment="1" applyProtection="1">
      <alignment horizontal="center" vertical="center" wrapText="1"/>
      <protection hidden="1"/>
    </xf>
    <xf numFmtId="0" fontId="20" fillId="3" borderId="17" xfId="0" applyFont="1" applyFill="1" applyBorder="1" applyAlignment="1" applyProtection="1">
      <alignment horizontal="center" vertical="center" wrapText="1"/>
      <protection hidden="1"/>
    </xf>
    <xf numFmtId="9" fontId="14" fillId="6" borderId="19" xfId="0" applyNumberFormat="1" applyFont="1" applyFill="1" applyBorder="1" applyAlignment="1" applyProtection="1">
      <alignment horizontal="center" vertical="center"/>
      <protection hidden="1"/>
    </xf>
    <xf numFmtId="9" fontId="14" fillId="6" borderId="17" xfId="0" applyNumberFormat="1" applyFont="1" applyFill="1" applyBorder="1" applyAlignment="1" applyProtection="1">
      <alignment horizontal="center" vertical="center"/>
      <protection hidden="1"/>
    </xf>
    <xf numFmtId="9" fontId="14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66FF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</a:t>
            </a:r>
            <a:r>
              <a:rPr lang="en-US" sz="1200">
                <a:latin typeface="Century Gothic" pitchFamily="34" charset="0"/>
              </a:rPr>
              <a:t>LINEAS ESTRATEGICAS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ACUMULADO AL 4 BIMESTRE 2017</a:t>
            </a:r>
          </a:p>
        </c:rich>
      </c:tx>
      <c:layout>
        <c:manualLayout>
          <c:xMode val="edge"/>
          <c:yMode val="edge"/>
          <c:x val="0.12566173398652983"/>
          <c:y val="1.34138162307176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586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47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0%</c:formatCode>
                <c:ptCount val="5"/>
                <c:pt idx="0">
                  <c:v>0.79589168573607938</c:v>
                </c:pt>
                <c:pt idx="1">
                  <c:v>0.93275694514258889</c:v>
                </c:pt>
                <c:pt idx="2">
                  <c:v>0.90199074074074059</c:v>
                </c:pt>
                <c:pt idx="3">
                  <c:v>0.95177811169546689</c:v>
                </c:pt>
                <c:pt idx="4">
                  <c:v>0.8989237585160591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3176"/>
        <c:axId val="164852784"/>
      </c:barChart>
      <c:catAx>
        <c:axId val="16485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64852784"/>
        <c:crosses val="autoZero"/>
        <c:auto val="1"/>
        <c:lblAlgn val="ctr"/>
        <c:lblOffset val="100"/>
        <c:noMultiLvlLbl val="0"/>
      </c:catAx>
      <c:valAx>
        <c:axId val="16485278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4853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Century Gothic" pitchFamily="34" charset="0"/>
              </a:rPr>
              <a:t>Perspectivas</a:t>
            </a:r>
            <a:r>
              <a:rPr lang="es-ES" sz="1400" baseline="0">
                <a:latin typeface="Century Gothic" pitchFamily="34" charset="0"/>
              </a:rPr>
              <a:t> del Balanced Scorecard                      Acumulado 4 bimestre 2017</a:t>
            </a:r>
            <a:endParaRPr lang="es-ES" sz="1400">
              <a:latin typeface="Century Gothic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32478125082428105"/>
          <c:w val="0.90271739140646667"/>
          <c:h val="0.49322196990899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GRAFICOS!$C$49:$C$53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GRAFICOS!$F$49:$F$53</c:f>
              <c:numCache>
                <c:formatCode>0%</c:formatCode>
                <c:ptCount val="5"/>
                <c:pt idx="0">
                  <c:v>0.84444444444444444</c:v>
                </c:pt>
                <c:pt idx="1">
                  <c:v>0.96251703328791105</c:v>
                </c:pt>
                <c:pt idx="2">
                  <c:v>0.84240214118434253</c:v>
                </c:pt>
                <c:pt idx="3">
                  <c:v>0.90752779384358329</c:v>
                </c:pt>
                <c:pt idx="4">
                  <c:v>0.90199074074074059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3960"/>
        <c:axId val="164854352"/>
      </c:barChart>
      <c:catAx>
        <c:axId val="164853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latin typeface="Century Gothic" pitchFamily="34" charset="0"/>
              </a:defRPr>
            </a:pPr>
            <a:endParaRPr lang="es-CO"/>
          </a:p>
        </c:txPr>
        <c:crossAx val="164854352"/>
        <c:crosses val="autoZero"/>
        <c:auto val="1"/>
        <c:lblAlgn val="ctr"/>
        <c:lblOffset val="100"/>
        <c:noMultiLvlLbl val="0"/>
      </c:catAx>
      <c:valAx>
        <c:axId val="16485435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4853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9</xdr:row>
      <xdr:rowOff>83300</xdr:rowOff>
    </xdr:from>
    <xdr:to>
      <xdr:col>10</xdr:col>
      <xdr:colOff>600075</xdr:colOff>
      <xdr:row>26</xdr:row>
      <xdr:rowOff>73775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569277</xdr:colOff>
      <xdr:row>42</xdr:row>
      <xdr:rowOff>74973</xdr:rowOff>
    </xdr:from>
    <xdr:to>
      <xdr:col>13</xdr:col>
      <xdr:colOff>343896</xdr:colOff>
      <xdr:row>52</xdr:row>
      <xdr:rowOff>42776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 refreshError="1"/>
      <sheetData sheetId="1" refreshError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 refreshError="1"/>
      <sheetData sheetId="3" refreshError="1">
        <row r="13">
          <cell r="R13">
            <v>0.89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214" t="s">
        <v>32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6" ht="24" customHeight="1" thickBot="1" x14ac:dyDescent="0.25">
      <c r="A2" s="215" t="e">
        <f>#REF!</f>
        <v>#REF!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6" ht="15.75" customHeight="1" x14ac:dyDescent="0.2">
      <c r="A3" s="218" t="s">
        <v>0</v>
      </c>
      <c r="B3" s="220" t="s">
        <v>30</v>
      </c>
      <c r="C3" s="226" t="s">
        <v>26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8"/>
      <c r="V3" s="222" t="s">
        <v>27</v>
      </c>
    </row>
    <row r="4" spans="1:26" ht="16.5" thickBot="1" x14ac:dyDescent="0.25">
      <c r="A4" s="219"/>
      <c r="B4" s="221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23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211" t="s">
        <v>25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3"/>
      <c r="Z37" s="2"/>
    </row>
    <row r="38" spans="1:26" ht="21.75" customHeight="1" thickBot="1" x14ac:dyDescent="0.25">
      <c r="A38" s="36"/>
      <c r="B38" s="37" t="s">
        <v>22</v>
      </c>
      <c r="C38" s="224" t="s">
        <v>31</v>
      </c>
      <c r="D38" s="225"/>
      <c r="E38" s="225"/>
      <c r="F38" s="43"/>
      <c r="G38" s="43"/>
      <c r="H38" s="43"/>
      <c r="I38" s="43"/>
      <c r="J38" s="43"/>
      <c r="K38" s="44"/>
      <c r="L38" s="209" t="s">
        <v>29</v>
      </c>
      <c r="M38" s="210"/>
      <c r="N38" s="210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214" t="s">
        <v>21</v>
      </c>
      <c r="B1" s="214"/>
      <c r="C1" s="214"/>
      <c r="D1" s="214"/>
      <c r="E1" s="214"/>
      <c r="F1" s="214"/>
      <c r="G1" s="214"/>
      <c r="H1" s="214"/>
    </row>
    <row r="2" spans="1:12" ht="24" customHeight="1" x14ac:dyDescent="0.2">
      <c r="A2" s="231" t="s">
        <v>3</v>
      </c>
      <c r="B2" s="232"/>
      <c r="C2" s="232"/>
      <c r="D2" s="232"/>
      <c r="E2" s="232"/>
      <c r="F2" s="232"/>
      <c r="G2" s="232"/>
      <c r="H2" s="233"/>
    </row>
    <row r="3" spans="1:12" ht="32.25" customHeight="1" x14ac:dyDescent="0.2">
      <c r="A3" s="234" t="s">
        <v>7</v>
      </c>
      <c r="B3" s="237" t="s">
        <v>8</v>
      </c>
      <c r="C3" s="237" t="s">
        <v>13</v>
      </c>
      <c r="D3" s="235" t="s">
        <v>2</v>
      </c>
      <c r="E3" s="239" t="s">
        <v>5</v>
      </c>
      <c r="F3" s="240"/>
      <c r="G3" s="241"/>
      <c r="H3" s="236" t="s">
        <v>1</v>
      </c>
    </row>
    <row r="4" spans="1:12" ht="45" customHeight="1" thickBot="1" x14ac:dyDescent="0.25">
      <c r="A4" s="219"/>
      <c r="B4" s="238"/>
      <c r="C4" s="238"/>
      <c r="D4" s="221"/>
      <c r="E4" s="9" t="s">
        <v>14</v>
      </c>
      <c r="F4" s="9" t="s">
        <v>11</v>
      </c>
      <c r="G4" s="22" t="s">
        <v>6</v>
      </c>
      <c r="H4" s="223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29"/>
      <c r="C30" s="229"/>
      <c r="D30" s="229"/>
      <c r="E30" s="230"/>
      <c r="F30" s="11" t="s">
        <v>4</v>
      </c>
      <c r="G30" s="11"/>
      <c r="H30" s="12"/>
    </row>
  </sheetData>
  <sheetProtection password="CD52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</row>
    <row r="2" spans="1:13" ht="24" customHeight="1" x14ac:dyDescent="0.2">
      <c r="A2" s="242" t="s">
        <v>3</v>
      </c>
      <c r="B2" s="243"/>
      <c r="C2" s="243"/>
      <c r="D2" s="243"/>
      <c r="E2" s="243"/>
      <c r="F2" s="243"/>
      <c r="G2" s="243"/>
      <c r="H2" s="243"/>
      <c r="I2" s="244"/>
    </row>
    <row r="3" spans="1:13" ht="32.25" customHeight="1" x14ac:dyDescent="0.2">
      <c r="A3" s="234" t="s">
        <v>7</v>
      </c>
      <c r="B3" s="237" t="s">
        <v>19</v>
      </c>
      <c r="C3" s="235" t="s">
        <v>2</v>
      </c>
      <c r="D3" s="235" t="s">
        <v>20</v>
      </c>
      <c r="E3" s="235" t="s">
        <v>20</v>
      </c>
      <c r="F3" s="239" t="s">
        <v>5</v>
      </c>
      <c r="G3" s="240"/>
      <c r="H3" s="240"/>
      <c r="I3" s="245"/>
    </row>
    <row r="4" spans="1:13" ht="63.75" thickBot="1" x14ac:dyDescent="0.25">
      <c r="A4" s="219"/>
      <c r="B4" s="238"/>
      <c r="C4" s="221"/>
      <c r="D4" s="221"/>
      <c r="E4" s="221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214" t="s">
        <v>23</v>
      </c>
      <c r="B1" s="214"/>
      <c r="C1" s="214"/>
      <c r="D1" s="214"/>
      <c r="E1" s="214"/>
      <c r="F1" s="214"/>
      <c r="G1" s="15"/>
    </row>
    <row r="2" spans="1:10" ht="24" customHeight="1" thickBot="1" x14ac:dyDescent="0.25">
      <c r="A2" s="246" t="s">
        <v>3</v>
      </c>
      <c r="B2" s="247"/>
      <c r="C2" s="247"/>
      <c r="D2" s="247"/>
      <c r="E2" s="247"/>
      <c r="F2" s="248"/>
      <c r="G2" s="15"/>
    </row>
    <row r="3" spans="1:10" ht="48" customHeight="1" x14ac:dyDescent="0.2">
      <c r="A3" s="251" t="s">
        <v>8</v>
      </c>
      <c r="B3" s="249" t="s">
        <v>17</v>
      </c>
      <c r="C3" s="249" t="s">
        <v>18</v>
      </c>
      <c r="D3" s="249"/>
      <c r="E3" s="249"/>
      <c r="F3" s="249" t="s">
        <v>10</v>
      </c>
      <c r="G3" s="15"/>
    </row>
    <row r="4" spans="1:10" ht="79.5" thickBot="1" x14ac:dyDescent="0.25">
      <c r="A4" s="252"/>
      <c r="B4" s="250"/>
      <c r="C4" s="30" t="s">
        <v>16</v>
      </c>
      <c r="D4" s="30" t="s">
        <v>12</v>
      </c>
      <c r="E4" s="30" t="s">
        <v>15</v>
      </c>
      <c r="F4" s="250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3"/>
  <sheetViews>
    <sheetView tabSelected="1" zoomScale="60" zoomScaleNormal="60" zoomScaleSheetLayoutView="64" workbookViewId="0">
      <selection activeCell="AD8" sqref="AD8"/>
    </sheetView>
  </sheetViews>
  <sheetFormatPr baseColWidth="10" defaultColWidth="11.5703125" defaultRowHeight="19.5" x14ac:dyDescent="0.25"/>
  <cols>
    <col min="1" max="1" width="37" style="82" customWidth="1"/>
    <col min="2" max="2" width="29.5703125" style="82" customWidth="1"/>
    <col min="3" max="3" width="25" style="82" hidden="1" customWidth="1"/>
    <col min="4" max="4" width="21.85546875" style="82" hidden="1" customWidth="1"/>
    <col min="5" max="5" width="20.42578125" style="82" hidden="1" customWidth="1"/>
    <col min="6" max="6" width="11.5703125" style="82" hidden="1" customWidth="1"/>
    <col min="7" max="7" width="10.42578125" style="82" hidden="1" customWidth="1"/>
    <col min="8" max="8" width="12.140625" style="82" hidden="1" customWidth="1"/>
    <col min="9" max="9" width="11" style="82" hidden="1" customWidth="1"/>
    <col min="10" max="11" width="12.85546875" style="82" hidden="1" customWidth="1"/>
    <col min="12" max="12" width="11.85546875" style="82" hidden="1" customWidth="1"/>
    <col min="13" max="13" width="12.28515625" style="82" hidden="1" customWidth="1"/>
    <col min="14" max="14" width="14.85546875" style="82" hidden="1" customWidth="1"/>
    <col min="15" max="15" width="20.42578125" style="168" hidden="1" customWidth="1"/>
    <col min="16" max="16" width="20.5703125" style="82" hidden="1" customWidth="1"/>
    <col min="17" max="17" width="12.42578125" style="82" hidden="1" customWidth="1"/>
    <col min="18" max="18" width="11.140625" style="82" hidden="1" customWidth="1"/>
    <col min="19" max="19" width="13.7109375" style="82" hidden="1" customWidth="1"/>
    <col min="20" max="20" width="14.140625" style="82" hidden="1" customWidth="1"/>
    <col min="21" max="21" width="14.42578125" style="82" hidden="1" customWidth="1"/>
    <col min="22" max="22" width="14.7109375" style="82" hidden="1" customWidth="1"/>
    <col min="23" max="23" width="15.28515625" style="82" hidden="1" customWidth="1"/>
    <col min="24" max="24" width="14.28515625" style="82" hidden="1" customWidth="1"/>
    <col min="25" max="25" width="14.7109375" style="82" hidden="1" customWidth="1"/>
    <col min="26" max="26" width="49.42578125" style="82" hidden="1" customWidth="1"/>
    <col min="27" max="27" width="18.5703125" style="82" hidden="1" customWidth="1"/>
    <col min="28" max="28" width="11.5703125" style="82" hidden="1" customWidth="1"/>
    <col min="29" max="29" width="56.140625" style="82" hidden="1" customWidth="1"/>
    <col min="30" max="30" width="13.7109375" style="82" customWidth="1"/>
    <col min="31" max="31" width="65.5703125" style="82" customWidth="1"/>
    <col min="32" max="32" width="15.28515625" style="82" hidden="1" customWidth="1"/>
    <col min="33" max="33" width="16" style="82" hidden="1" customWidth="1"/>
    <col min="34" max="34" width="16.7109375" style="82" hidden="1" customWidth="1"/>
    <col min="35" max="35" width="17.28515625" style="82" hidden="1" customWidth="1"/>
    <col min="36" max="36" width="18.5703125" style="82" hidden="1" customWidth="1"/>
    <col min="37" max="37" width="19" style="82" hidden="1" customWidth="1"/>
    <col min="38" max="38" width="16.7109375" style="82" hidden="1" customWidth="1"/>
    <col min="39" max="41" width="11.5703125" style="82" hidden="1" customWidth="1"/>
    <col min="42" max="42" width="12.85546875" style="82" hidden="1" customWidth="1"/>
    <col min="43" max="43" width="13.42578125" style="82" hidden="1" customWidth="1"/>
    <col min="44" max="44" width="12.28515625" style="82" hidden="1" customWidth="1"/>
    <col min="45" max="45" width="11.5703125" style="170" hidden="1" customWidth="1"/>
    <col min="46" max="46" width="13.28515625" style="82" hidden="1" customWidth="1"/>
    <col min="47" max="47" width="20.42578125" style="82" customWidth="1"/>
    <col min="48" max="48" width="18.140625" style="82" customWidth="1"/>
    <col min="49" max="49" width="21.7109375" style="171" customWidth="1"/>
    <col min="50" max="50" width="23.28515625" style="172" customWidth="1"/>
    <col min="51" max="51" width="16.7109375" style="82" customWidth="1"/>
    <col min="52" max="52" width="11.5703125" style="96"/>
    <col min="53" max="53" width="25.85546875" style="96" hidden="1" customWidth="1"/>
    <col min="54" max="55" width="11.5703125" style="96"/>
    <col min="56" max="16384" width="11.5703125" style="82"/>
  </cols>
  <sheetData>
    <row r="1" spans="1:53" ht="53.25" customHeight="1" x14ac:dyDescent="0.45">
      <c r="A1" s="253" t="s">
        <v>243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</row>
    <row r="2" spans="1:53" ht="26.25" customHeight="1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</row>
    <row r="3" spans="1:53" ht="33.75" customHeight="1" x14ac:dyDescent="0.4">
      <c r="A3" s="254" t="s">
        <v>244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</row>
    <row r="4" spans="1:53" ht="25.5" customHeight="1" x14ac:dyDescent="0.25"/>
    <row r="5" spans="1:53" ht="32.450000000000003" customHeight="1" x14ac:dyDescent="0.25">
      <c r="A5" s="256" t="s">
        <v>57</v>
      </c>
      <c r="B5" s="256" t="s">
        <v>38</v>
      </c>
      <c r="C5" s="206" t="s">
        <v>39</v>
      </c>
      <c r="D5" s="206" t="s">
        <v>64</v>
      </c>
      <c r="E5" s="206" t="s">
        <v>68</v>
      </c>
      <c r="F5" s="255" t="s">
        <v>61</v>
      </c>
      <c r="G5" s="255"/>
      <c r="H5" s="255"/>
      <c r="I5" s="255"/>
      <c r="J5" s="255"/>
      <c r="K5" s="255"/>
      <c r="L5" s="255"/>
      <c r="M5" s="255"/>
      <c r="N5" s="255"/>
      <c r="O5" s="206" t="s">
        <v>40</v>
      </c>
      <c r="P5" s="206" t="s">
        <v>69</v>
      </c>
      <c r="Q5" s="255" t="s">
        <v>61</v>
      </c>
      <c r="R5" s="255"/>
      <c r="S5" s="255"/>
      <c r="T5" s="255"/>
      <c r="U5" s="255"/>
      <c r="V5" s="255"/>
      <c r="W5" s="255"/>
      <c r="X5" s="255"/>
      <c r="Y5" s="255"/>
      <c r="Z5" s="256" t="s">
        <v>36</v>
      </c>
      <c r="AA5" s="206" t="s">
        <v>58</v>
      </c>
      <c r="AB5" s="206" t="s">
        <v>59</v>
      </c>
      <c r="AC5" s="256" t="s">
        <v>72</v>
      </c>
      <c r="AD5" s="259" t="s">
        <v>240</v>
      </c>
      <c r="AE5" s="256" t="s">
        <v>135</v>
      </c>
      <c r="AF5" s="256" t="s">
        <v>136</v>
      </c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</row>
    <row r="6" spans="1:53" ht="45.75" customHeight="1" x14ac:dyDescent="0.25">
      <c r="A6" s="256"/>
      <c r="B6" s="256"/>
      <c r="C6" s="206"/>
      <c r="D6" s="206"/>
      <c r="E6" s="206"/>
      <c r="F6" s="208"/>
      <c r="G6" s="208"/>
      <c r="H6" s="208"/>
      <c r="I6" s="208"/>
      <c r="J6" s="208"/>
      <c r="K6" s="208"/>
      <c r="L6" s="208"/>
      <c r="M6" s="208"/>
      <c r="N6" s="208"/>
      <c r="O6" s="206"/>
      <c r="P6" s="206"/>
      <c r="Q6" s="208"/>
      <c r="R6" s="208"/>
      <c r="S6" s="208"/>
      <c r="T6" s="208"/>
      <c r="U6" s="208"/>
      <c r="V6" s="208"/>
      <c r="W6" s="208"/>
      <c r="X6" s="208"/>
      <c r="Y6" s="208"/>
      <c r="Z6" s="256"/>
      <c r="AA6" s="206"/>
      <c r="AB6" s="206"/>
      <c r="AC6" s="256"/>
      <c r="AD6" s="260"/>
      <c r="AE6" s="256"/>
      <c r="AF6" s="206">
        <v>2012</v>
      </c>
      <c r="AG6" s="206">
        <v>2013</v>
      </c>
      <c r="AH6" s="206" t="s">
        <v>211</v>
      </c>
      <c r="AI6" s="206" t="s">
        <v>208</v>
      </c>
      <c r="AJ6" s="206" t="s">
        <v>209</v>
      </c>
      <c r="AK6" s="206" t="s">
        <v>210</v>
      </c>
      <c r="AL6" s="206" t="s">
        <v>223</v>
      </c>
      <c r="AM6" s="206">
        <v>2015</v>
      </c>
      <c r="AN6" s="206">
        <v>2016</v>
      </c>
      <c r="AO6" s="206">
        <v>2017</v>
      </c>
      <c r="AP6" s="206">
        <v>2018</v>
      </c>
      <c r="AQ6" s="206">
        <v>2019</v>
      </c>
      <c r="AR6" s="206">
        <v>2020</v>
      </c>
      <c r="AS6" s="257">
        <f>8-1</f>
        <v>7</v>
      </c>
      <c r="AT6" s="97"/>
      <c r="AU6" s="206" t="s">
        <v>242</v>
      </c>
      <c r="AV6" s="206" t="s">
        <v>208</v>
      </c>
      <c r="AW6" s="206" t="s">
        <v>225</v>
      </c>
      <c r="AX6" s="206" t="s">
        <v>210</v>
      </c>
      <c r="AY6" s="206" t="s">
        <v>226</v>
      </c>
    </row>
    <row r="7" spans="1:53" ht="81" customHeight="1" x14ac:dyDescent="0.25">
      <c r="A7" s="277" t="s">
        <v>121</v>
      </c>
      <c r="B7" s="198" t="s">
        <v>51</v>
      </c>
      <c r="C7" s="263" t="s">
        <v>63</v>
      </c>
      <c r="D7" s="263" t="s">
        <v>123</v>
      </c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63" t="s">
        <v>124</v>
      </c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198" t="s">
        <v>75</v>
      </c>
      <c r="AA7" s="98"/>
      <c r="AB7" s="98"/>
      <c r="AC7" s="174" t="s">
        <v>77</v>
      </c>
      <c r="AD7" s="179">
        <v>1</v>
      </c>
      <c r="AE7" s="174" t="s">
        <v>166</v>
      </c>
      <c r="AF7" s="99"/>
      <c r="AG7" s="204" t="s">
        <v>167</v>
      </c>
      <c r="AH7" s="100">
        <v>1</v>
      </c>
      <c r="AI7" s="101">
        <f>'[1]ESTRUCTURA PONDERACIÓN'!$E$16</f>
        <v>1.1111111111111112E-2</v>
      </c>
      <c r="AJ7" s="100">
        <f>'[2]REORD. CAPACIDAD INSTALPROG2'!$R$13</f>
        <v>0.89</v>
      </c>
      <c r="AK7" s="102">
        <f>IF(AJ7&lt;AH7,100%,AJ7/AH7)</f>
        <v>1</v>
      </c>
      <c r="AL7" s="103">
        <f>AK7*AI7</f>
        <v>1.1111111111111112E-2</v>
      </c>
      <c r="AM7" s="204" t="s">
        <v>167</v>
      </c>
      <c r="AN7" s="204" t="s">
        <v>167</v>
      </c>
      <c r="AO7" s="204" t="s">
        <v>167</v>
      </c>
      <c r="AP7" s="204" t="s">
        <v>167</v>
      </c>
      <c r="AQ7" s="204" t="s">
        <v>167</v>
      </c>
      <c r="AR7" s="204" t="s">
        <v>167</v>
      </c>
      <c r="AS7" s="257"/>
      <c r="AT7" s="97"/>
      <c r="AU7" s="196">
        <v>5.0000000000000004E-6</v>
      </c>
      <c r="AV7" s="104">
        <v>1.4E-3</v>
      </c>
      <c r="AW7" s="195">
        <v>1.0000000000000001E-5</v>
      </c>
      <c r="AX7" s="197">
        <f>IF(AW7=0,0,IF(AW7&lt;AU7,100%,AU7/AW7))</f>
        <v>0.5</v>
      </c>
      <c r="AY7" s="106">
        <f>AV7*AX7</f>
        <v>6.9999999999999999E-4</v>
      </c>
    </row>
    <row r="8" spans="1:53" ht="75.75" customHeight="1" x14ac:dyDescent="0.25">
      <c r="A8" s="278"/>
      <c r="B8" s="198" t="s">
        <v>224</v>
      </c>
      <c r="C8" s="263"/>
      <c r="D8" s="263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63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58" t="s">
        <v>50</v>
      </c>
      <c r="AA8" s="98"/>
      <c r="AB8" s="98"/>
      <c r="AC8" s="174" t="s">
        <v>49</v>
      </c>
      <c r="AD8" s="179">
        <v>2</v>
      </c>
      <c r="AE8" s="174" t="s">
        <v>232</v>
      </c>
      <c r="AF8" s="105"/>
      <c r="AG8" s="105"/>
      <c r="AH8" s="105"/>
      <c r="AI8" s="110"/>
      <c r="AJ8" s="105"/>
      <c r="AK8" s="105"/>
      <c r="AL8" s="105"/>
      <c r="AM8" s="174" t="s">
        <v>198</v>
      </c>
      <c r="AN8" s="174" t="s">
        <v>198</v>
      </c>
      <c r="AO8" s="174" t="s">
        <v>198</v>
      </c>
      <c r="AP8" s="174" t="s">
        <v>198</v>
      </c>
      <c r="AQ8" s="174" t="s">
        <v>198</v>
      </c>
      <c r="AR8" s="174" t="s">
        <v>198</v>
      </c>
      <c r="AS8" s="257"/>
      <c r="AT8" s="97"/>
      <c r="AU8" s="108">
        <v>0.9</v>
      </c>
      <c r="AV8" s="101">
        <v>1.2E-4</v>
      </c>
      <c r="AW8" s="108">
        <v>0.76</v>
      </c>
      <c r="AX8" s="188">
        <f t="shared" ref="AX8" si="0">IF(AW8&gt;AU8,100%,AW8/AU8)</f>
        <v>0.84444444444444444</v>
      </c>
      <c r="AY8" s="106">
        <f t="shared" ref="AY8:AY11" si="1">AV8*AX8</f>
        <v>1.0133333333333333E-4</v>
      </c>
    </row>
    <row r="9" spans="1:53" ht="49.5" hidden="1" customHeight="1" x14ac:dyDescent="0.25">
      <c r="A9" s="278"/>
      <c r="B9" s="198"/>
      <c r="C9" s="198"/>
      <c r="D9" s="263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198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58"/>
      <c r="AA9" s="98"/>
      <c r="AB9" s="98"/>
      <c r="AC9" s="174"/>
      <c r="AD9" s="179"/>
      <c r="AE9" s="174"/>
      <c r="AF9" s="105"/>
      <c r="AG9" s="111" t="s">
        <v>170</v>
      </c>
      <c r="AH9" s="102">
        <v>0.5</v>
      </c>
      <c r="AI9" s="101">
        <f>'[1]ESTRUCTURA PONDERACIÓN'!$E$10</f>
        <v>1.2500000000000001E-2</v>
      </c>
      <c r="AJ9" s="102">
        <f>'[2]AT. INTEGRAL E INTEGRADA PROG1'!$R$17</f>
        <v>0.4</v>
      </c>
      <c r="AK9" s="102">
        <f>IF(AJ9&gt;AH9,100%,AJ9/AH9)</f>
        <v>0.8</v>
      </c>
      <c r="AL9" s="106">
        <f>AK9*AI9</f>
        <v>1.0000000000000002E-2</v>
      </c>
      <c r="AM9" s="111" t="s">
        <v>171</v>
      </c>
      <c r="AN9" s="111" t="s">
        <v>172</v>
      </c>
      <c r="AO9" s="111" t="s">
        <v>138</v>
      </c>
      <c r="AP9" s="111" t="s">
        <v>138</v>
      </c>
      <c r="AQ9" s="111" t="s">
        <v>138</v>
      </c>
      <c r="AR9" s="111" t="s">
        <v>138</v>
      </c>
      <c r="AS9" s="257"/>
      <c r="AT9" s="97">
        <v>7</v>
      </c>
      <c r="AU9" s="111"/>
      <c r="AV9" s="101"/>
      <c r="AW9" s="181"/>
      <c r="AX9" s="109"/>
      <c r="AY9" s="106"/>
    </row>
    <row r="10" spans="1:53" ht="29.45" hidden="1" customHeight="1" x14ac:dyDescent="0.25">
      <c r="A10" s="278"/>
      <c r="B10" s="174"/>
      <c r="C10" s="198"/>
      <c r="D10" s="263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98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58"/>
      <c r="AA10" s="98"/>
      <c r="AB10" s="98"/>
      <c r="AC10" s="174"/>
      <c r="AD10" s="179">
        <v>4</v>
      </c>
      <c r="AE10" s="174"/>
      <c r="AF10" s="113" t="s">
        <v>173</v>
      </c>
      <c r="AG10" s="111" t="s">
        <v>174</v>
      </c>
      <c r="AH10" s="100">
        <v>0.6</v>
      </c>
      <c r="AI10" s="101">
        <f>'[1]ESTRUCTURA PONDERACIÓN'!$E$12/9</f>
        <v>6.9444444444444447E-4</v>
      </c>
      <c r="AJ10" s="100">
        <f>'[2]AT. INTEGRAL E INTEGRADA PROG1'!$R$39</f>
        <v>6.6589999999999998</v>
      </c>
      <c r="AK10" s="102">
        <f>IF(AJ10&gt;AH10,100%,AJ10/AH10)</f>
        <v>1</v>
      </c>
      <c r="AL10" s="106">
        <f>AK10*AI10</f>
        <v>6.9444444444444447E-4</v>
      </c>
      <c r="AM10" s="111" t="s">
        <v>175</v>
      </c>
      <c r="AN10" s="111" t="s">
        <v>176</v>
      </c>
      <c r="AO10" s="111" t="s">
        <v>176</v>
      </c>
      <c r="AP10" s="111" t="s">
        <v>177</v>
      </c>
      <c r="AQ10" s="111" t="s">
        <v>177</v>
      </c>
      <c r="AR10" s="111" t="s">
        <v>177</v>
      </c>
      <c r="AS10" s="257"/>
      <c r="AT10" s="97"/>
      <c r="AU10" s="204"/>
      <c r="AV10" s="204"/>
      <c r="AW10" s="182"/>
      <c r="AX10" s="108"/>
      <c r="AY10" s="204"/>
    </row>
    <row r="11" spans="1:53" ht="71.25" customHeight="1" x14ac:dyDescent="0.25">
      <c r="A11" s="278"/>
      <c r="B11" s="198" t="s">
        <v>43</v>
      </c>
      <c r="C11" s="198"/>
      <c r="D11" s="263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198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58"/>
      <c r="AA11" s="98"/>
      <c r="AB11" s="98"/>
      <c r="AC11" s="174"/>
      <c r="AD11" s="179">
        <v>3</v>
      </c>
      <c r="AE11" s="174" t="s">
        <v>233</v>
      </c>
      <c r="AF11" s="105"/>
      <c r="AG11" s="111" t="s">
        <v>192</v>
      </c>
      <c r="AH11" s="102">
        <v>0.7</v>
      </c>
      <c r="AI11" s="101">
        <f>'[1]ESTRUCTURA PONDERACIÓN'!$E$11</f>
        <v>1.6666666666666666E-2</v>
      </c>
      <c r="AJ11" s="102">
        <f>'[2]AT. INTEGRAL E INTEGRADA PROG1'!$R$28</f>
        <v>0.92</v>
      </c>
      <c r="AK11" s="102">
        <f>IF(AJ11&gt;AH11,100%,AJ11/AH11)</f>
        <v>1</v>
      </c>
      <c r="AL11" s="106">
        <f>AK11*AI11</f>
        <v>1.6666666666666666E-2</v>
      </c>
      <c r="AM11" s="111" t="s">
        <v>182</v>
      </c>
      <c r="AN11" s="111" t="s">
        <v>182</v>
      </c>
      <c r="AO11" s="111" t="s">
        <v>143</v>
      </c>
      <c r="AP11" s="111" t="s">
        <v>143</v>
      </c>
      <c r="AQ11" s="111" t="s">
        <v>143</v>
      </c>
      <c r="AR11" s="111" t="s">
        <v>143</v>
      </c>
      <c r="AS11" s="257"/>
      <c r="AT11" s="97"/>
      <c r="AU11" s="111">
        <v>0.9</v>
      </c>
      <c r="AV11" s="101">
        <v>1.0399999999999999E-3</v>
      </c>
      <c r="AW11" s="181">
        <v>0.96</v>
      </c>
      <c r="AX11" s="109">
        <f t="shared" ref="AX11:AX12" si="2">IF(AW11&gt;AU11,100%,AW11/AU11)</f>
        <v>1</v>
      </c>
      <c r="AY11" s="106">
        <f t="shared" si="1"/>
        <v>1.0399999999999999E-3</v>
      </c>
    </row>
    <row r="12" spans="1:53" ht="63.75" customHeight="1" x14ac:dyDescent="0.25">
      <c r="A12" s="278"/>
      <c r="B12" s="273" t="s">
        <v>42</v>
      </c>
      <c r="C12" s="198"/>
      <c r="D12" s="263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198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98"/>
      <c r="AB12" s="98"/>
      <c r="AC12" s="174"/>
      <c r="AD12" s="179">
        <v>4</v>
      </c>
      <c r="AE12" s="174" t="s">
        <v>137</v>
      </c>
      <c r="AF12" s="105"/>
      <c r="AG12" s="111"/>
      <c r="AH12" s="102"/>
      <c r="AI12" s="101"/>
      <c r="AJ12" s="102"/>
      <c r="AK12" s="102"/>
      <c r="AL12" s="106"/>
      <c r="AM12" s="111"/>
      <c r="AN12" s="111"/>
      <c r="AO12" s="111"/>
      <c r="AP12" s="111"/>
      <c r="AQ12" s="111"/>
      <c r="AR12" s="111"/>
      <c r="AS12" s="257"/>
      <c r="AT12" s="97"/>
      <c r="AU12" s="111">
        <v>0.4</v>
      </c>
      <c r="AV12" s="101">
        <v>2.7999999999999998E-4</v>
      </c>
      <c r="AW12" s="181">
        <v>0.4</v>
      </c>
      <c r="AX12" s="109">
        <f t="shared" si="2"/>
        <v>1</v>
      </c>
      <c r="AY12" s="106">
        <f t="shared" ref="AY12" si="3">AV12*AX12</f>
        <v>2.7999999999999998E-4</v>
      </c>
    </row>
    <row r="13" spans="1:53" ht="57" customHeight="1" x14ac:dyDescent="0.25">
      <c r="A13" s="278"/>
      <c r="B13" s="274"/>
      <c r="C13" s="198" t="s">
        <v>48</v>
      </c>
      <c r="D13" s="263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198" t="s">
        <v>125</v>
      </c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 t="s">
        <v>78</v>
      </c>
      <c r="AA13" s="98"/>
      <c r="AB13" s="98"/>
      <c r="AC13" s="98"/>
      <c r="AD13" s="179">
        <v>5</v>
      </c>
      <c r="AE13" s="174" t="s">
        <v>199</v>
      </c>
      <c r="AF13" s="107" t="s">
        <v>200</v>
      </c>
      <c r="AG13" s="174" t="s">
        <v>201</v>
      </c>
      <c r="AH13" s="114">
        <v>0.85</v>
      </c>
      <c r="AI13" s="101">
        <f>'[1]ESTRUCTURA PONDERACIÓN'!$E$12/9</f>
        <v>6.9444444444444447E-4</v>
      </c>
      <c r="AJ13" s="115">
        <v>0.94499999999999995</v>
      </c>
      <c r="AK13" s="102">
        <f>IF(AJ13&gt;AH13,100%,AJ13/AH13)</f>
        <v>1</v>
      </c>
      <c r="AL13" s="106">
        <f>AK13*AI13</f>
        <v>6.9444444444444447E-4</v>
      </c>
      <c r="AM13" s="174" t="s">
        <v>202</v>
      </c>
      <c r="AN13" s="174" t="s">
        <v>203</v>
      </c>
      <c r="AO13" s="174" t="s">
        <v>204</v>
      </c>
      <c r="AP13" s="174" t="s">
        <v>205</v>
      </c>
      <c r="AQ13" s="174" t="s">
        <v>206</v>
      </c>
      <c r="AR13" s="174" t="s">
        <v>207</v>
      </c>
      <c r="AS13" s="257"/>
      <c r="AT13" s="97"/>
      <c r="AU13" s="108">
        <v>0.95</v>
      </c>
      <c r="AV13" s="104">
        <v>1.4E-3</v>
      </c>
      <c r="AW13" s="183">
        <v>0.80300000000000005</v>
      </c>
      <c r="AX13" s="188">
        <f>IF(AW13&gt;AU13,100%,AW13/AU13)</f>
        <v>0.84526315789473694</v>
      </c>
      <c r="AY13" s="106">
        <f t="shared" ref="AY13:AY55" si="4">AV13*AX13</f>
        <v>1.1833684210526317E-3</v>
      </c>
    </row>
    <row r="14" spans="1:53" ht="59.25" customHeight="1" x14ac:dyDescent="0.25">
      <c r="A14" s="279"/>
      <c r="B14" s="275"/>
      <c r="C14" s="198"/>
      <c r="D14" s="198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198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174" t="s">
        <v>76</v>
      </c>
      <c r="AA14" s="98"/>
      <c r="AB14" s="98"/>
      <c r="AC14" s="98"/>
      <c r="AD14" s="179">
        <v>6</v>
      </c>
      <c r="AE14" s="174" t="s">
        <v>168</v>
      </c>
      <c r="AF14" s="107" t="s">
        <v>169</v>
      </c>
      <c r="AG14" s="174" t="s">
        <v>169</v>
      </c>
      <c r="AH14" s="102">
        <v>0.93</v>
      </c>
      <c r="AI14" s="101">
        <f>'[1]ESTRUCTURA PONDERACIÓN'!$E$12/9</f>
        <v>6.9444444444444447E-4</v>
      </c>
      <c r="AJ14" s="102">
        <f>'[2]AT. INTEGRAL E INTEGRADA PROG1'!$R$40</f>
        <v>1.0027999999999999</v>
      </c>
      <c r="AK14" s="102">
        <f>IF(AJ14&gt;AH14,100%,AJ14/AH14)</f>
        <v>1</v>
      </c>
      <c r="AL14" s="106">
        <f>AK14*AI14</f>
        <v>6.9444444444444447E-4</v>
      </c>
      <c r="AM14" s="174" t="s">
        <v>169</v>
      </c>
      <c r="AN14" s="174" t="s">
        <v>169</v>
      </c>
      <c r="AO14" s="174" t="s">
        <v>169</v>
      </c>
      <c r="AP14" s="174" t="s">
        <v>169</v>
      </c>
      <c r="AQ14" s="174" t="s">
        <v>169</v>
      </c>
      <c r="AR14" s="174" t="s">
        <v>169</v>
      </c>
      <c r="AS14" s="204"/>
      <c r="AT14" s="97"/>
      <c r="AU14" s="108">
        <v>1</v>
      </c>
      <c r="AV14" s="101">
        <v>3.6000000000000002E-4</v>
      </c>
      <c r="AW14" s="181">
        <v>0.99</v>
      </c>
      <c r="AX14" s="188">
        <f>IF(AW14&gt;AU14,100%,AW14/AU14)</f>
        <v>0.99</v>
      </c>
      <c r="AY14" s="106">
        <f t="shared" ref="AY14" si="5">AV14*AX14</f>
        <v>3.5640000000000004E-4</v>
      </c>
      <c r="BA14" s="174" t="s">
        <v>241</v>
      </c>
    </row>
    <row r="15" spans="1:53" ht="27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08"/>
      <c r="AU15" s="118"/>
      <c r="AV15" s="118"/>
      <c r="AW15" s="119"/>
      <c r="AX15" s="120"/>
      <c r="AY15" s="117"/>
    </row>
    <row r="16" spans="1:53" ht="48.75" customHeight="1" x14ac:dyDescent="0.25">
      <c r="A16" s="276" t="s">
        <v>65</v>
      </c>
      <c r="B16" s="263" t="s">
        <v>45</v>
      </c>
      <c r="C16" s="263" t="s">
        <v>46</v>
      </c>
      <c r="D16" s="261" t="s">
        <v>126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261" t="s">
        <v>128</v>
      </c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 t="s">
        <v>82</v>
      </c>
      <c r="AA16" s="98"/>
      <c r="AB16" s="98"/>
      <c r="AC16" s="98" t="s">
        <v>47</v>
      </c>
      <c r="AD16" s="179">
        <v>8</v>
      </c>
      <c r="AE16" s="174" t="s">
        <v>150</v>
      </c>
      <c r="AF16" s="111" t="s">
        <v>151</v>
      </c>
      <c r="AG16" s="111" t="s">
        <v>151</v>
      </c>
      <c r="AH16" s="100">
        <v>1</v>
      </c>
      <c r="AI16" s="104">
        <f>'[1]ESTRUCTURA PONDERACIÓN'!$E$66</f>
        <v>4.0000000000000001E-3</v>
      </c>
      <c r="AJ16" s="100">
        <f>'[3]MODELO EFICIENCIA SOLIDEZ 2013'!$R$37</f>
        <v>1.1000000000000001</v>
      </c>
      <c r="AK16" s="102">
        <f t="shared" ref="AK16:AK21" si="6">IF(AJ16&gt;AH16,100%,AJ16/AH16)</f>
        <v>1</v>
      </c>
      <c r="AL16" s="106">
        <f t="shared" ref="AL16:AL21" si="7">AK16*AI16</f>
        <v>4.0000000000000001E-3</v>
      </c>
      <c r="AM16" s="111" t="s">
        <v>151</v>
      </c>
      <c r="AN16" s="111" t="s">
        <v>151</v>
      </c>
      <c r="AO16" s="111" t="s">
        <v>151</v>
      </c>
      <c r="AP16" s="111" t="s">
        <v>151</v>
      </c>
      <c r="AQ16" s="111" t="s">
        <v>151</v>
      </c>
      <c r="AR16" s="111" t="s">
        <v>151</v>
      </c>
      <c r="AS16" s="262">
        <v>7</v>
      </c>
      <c r="AT16" s="97"/>
      <c r="AU16" s="190">
        <v>1</v>
      </c>
      <c r="AV16" s="104">
        <v>1E-3</v>
      </c>
      <c r="AW16" s="180">
        <v>0.81</v>
      </c>
      <c r="AX16" s="121">
        <f>IF(AW16&gt;AU16,100%,AW16/AU16)</f>
        <v>0.81</v>
      </c>
      <c r="AY16" s="106">
        <f t="shared" si="4"/>
        <v>8.1000000000000006E-4</v>
      </c>
    </row>
    <row r="17" spans="1:54" ht="30" hidden="1" customHeight="1" x14ac:dyDescent="0.25">
      <c r="A17" s="276"/>
      <c r="B17" s="263"/>
      <c r="C17" s="263"/>
      <c r="D17" s="261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61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5" t="s">
        <v>79</v>
      </c>
      <c r="AA17" s="98"/>
      <c r="AB17" s="98"/>
      <c r="AC17" s="174" t="s">
        <v>73</v>
      </c>
      <c r="AD17" s="179"/>
      <c r="AE17" s="174"/>
      <c r="AF17" s="111">
        <v>0.04</v>
      </c>
      <c r="AG17" s="111" t="s">
        <v>213</v>
      </c>
      <c r="AH17" s="102">
        <v>0.03</v>
      </c>
      <c r="AI17" s="104">
        <f>'[1]ESTRUCTURA PONDERACIÓN'!$E$64</f>
        <v>1.5555555555555557E-3</v>
      </c>
      <c r="AJ17" s="106">
        <f>4%-'[3]MODELO EFICIENCIA SOLIDEZ 2013'!$R$13</f>
        <v>3.0300000000000001E-2</v>
      </c>
      <c r="AK17" s="103">
        <f>IF(AJ17&lt;2.999999%,100%,(3%*100%)/AJ17)</f>
        <v>0.99009900990099009</v>
      </c>
      <c r="AL17" s="106">
        <f t="shared" si="7"/>
        <v>1.5401540154015402E-3</v>
      </c>
      <c r="AM17" s="111">
        <v>0.02</v>
      </c>
      <c r="AN17" s="111">
        <v>0.02</v>
      </c>
      <c r="AO17" s="111">
        <v>0.02</v>
      </c>
      <c r="AP17" s="111">
        <v>0.02</v>
      </c>
      <c r="AQ17" s="111">
        <v>0.02</v>
      </c>
      <c r="AR17" s="111">
        <v>0.02</v>
      </c>
      <c r="AS17" s="262"/>
      <c r="AT17" s="97"/>
      <c r="AU17" s="191"/>
      <c r="AV17" s="104"/>
      <c r="AW17" s="183"/>
      <c r="AX17" s="121"/>
      <c r="AY17" s="106"/>
    </row>
    <row r="18" spans="1:54" ht="48" customHeight="1" x14ac:dyDescent="0.25">
      <c r="A18" s="276"/>
      <c r="B18" s="263"/>
      <c r="C18" s="263"/>
      <c r="D18" s="261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261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74" t="s">
        <v>80</v>
      </c>
      <c r="AA18" s="98"/>
      <c r="AB18" s="98"/>
      <c r="AC18" s="98"/>
      <c r="AD18" s="179">
        <v>9</v>
      </c>
      <c r="AE18" s="174" t="s">
        <v>234</v>
      </c>
      <c r="AF18" s="122" t="s">
        <v>169</v>
      </c>
      <c r="AG18" s="122" t="s">
        <v>169</v>
      </c>
      <c r="AH18" s="102">
        <v>0.93</v>
      </c>
      <c r="AI18" s="104">
        <f>'[1]ESTRUCTURA PONDERACIÓN'!$E$63</f>
        <v>1.5555555555555557E-3</v>
      </c>
      <c r="AJ18" s="102">
        <f>'[3]MODELO EFICIENCIA SOLIDEZ 2013'!$R$27</f>
        <v>0.96</v>
      </c>
      <c r="AK18" s="102">
        <f t="shared" si="6"/>
        <v>1</v>
      </c>
      <c r="AL18" s="106">
        <f t="shared" si="7"/>
        <v>1.5555555555555557E-3</v>
      </c>
      <c r="AM18" s="122" t="s">
        <v>169</v>
      </c>
      <c r="AN18" s="122" t="s">
        <v>169</v>
      </c>
      <c r="AO18" s="122" t="s">
        <v>169</v>
      </c>
      <c r="AP18" s="122" t="s">
        <v>169</v>
      </c>
      <c r="AQ18" s="122" t="s">
        <v>169</v>
      </c>
      <c r="AR18" s="122" t="s">
        <v>169</v>
      </c>
      <c r="AS18" s="262"/>
      <c r="AT18" s="97"/>
      <c r="AU18" s="108">
        <v>0.9</v>
      </c>
      <c r="AV18" s="104">
        <v>1E-4</v>
      </c>
      <c r="AW18" s="181">
        <v>0.61</v>
      </c>
      <c r="AX18" s="121">
        <f>IF(AW18&gt;AU18,100%,AW18/AU18)</f>
        <v>0.6777777777777777</v>
      </c>
      <c r="AY18" s="106">
        <f t="shared" si="4"/>
        <v>6.7777777777777769E-5</v>
      </c>
      <c r="AZ18" s="124">
        <v>1.6000000000000001E-3</v>
      </c>
      <c r="BA18" s="125">
        <f>AZ18/4</f>
        <v>4.0000000000000002E-4</v>
      </c>
    </row>
    <row r="19" spans="1:54" ht="61.5" hidden="1" customHeight="1" x14ac:dyDescent="0.25">
      <c r="A19" s="276"/>
      <c r="B19" s="263"/>
      <c r="C19" s="263"/>
      <c r="D19" s="261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61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74" t="s">
        <v>60</v>
      </c>
      <c r="AA19" s="98"/>
      <c r="AB19" s="98"/>
      <c r="AC19" s="126"/>
      <c r="AD19" s="179"/>
      <c r="AE19" s="174" t="s">
        <v>152</v>
      </c>
      <c r="AF19" s="113" t="s">
        <v>153</v>
      </c>
      <c r="AG19" s="111" t="s">
        <v>153</v>
      </c>
      <c r="AH19" s="100">
        <v>0.7</v>
      </c>
      <c r="AI19" s="104">
        <f>'[1]ESTRUCTURA PONDERACIÓN'!$E$71/2</f>
        <v>2.666666666666667E-3</v>
      </c>
      <c r="AJ19" s="127">
        <f>'[3]LEGALIDAD EFIC. ADVA  2013'!$R$15</f>
        <v>0.83</v>
      </c>
      <c r="AK19" s="102">
        <f t="shared" si="6"/>
        <v>1</v>
      </c>
      <c r="AL19" s="106">
        <f t="shared" si="7"/>
        <v>2.666666666666667E-3</v>
      </c>
      <c r="AM19" s="111" t="s">
        <v>153</v>
      </c>
      <c r="AN19" s="111" t="s">
        <v>153</v>
      </c>
      <c r="AO19" s="111" t="s">
        <v>153</v>
      </c>
      <c r="AP19" s="111" t="s">
        <v>153</v>
      </c>
      <c r="AQ19" s="111" t="s">
        <v>153</v>
      </c>
      <c r="AR19" s="111" t="s">
        <v>153</v>
      </c>
      <c r="AS19" s="262"/>
      <c r="AT19" s="97">
        <v>6</v>
      </c>
      <c r="AU19" s="108">
        <v>0.7</v>
      </c>
      <c r="AV19" s="104">
        <f>0.53%/2</f>
        <v>2.65E-3</v>
      </c>
      <c r="AW19" s="112"/>
      <c r="AX19" s="105"/>
      <c r="AY19" s="106">
        <f t="shared" si="4"/>
        <v>0</v>
      </c>
    </row>
    <row r="20" spans="1:54" ht="42" customHeight="1" x14ac:dyDescent="0.25">
      <c r="A20" s="276"/>
      <c r="B20" s="263"/>
      <c r="C20" s="263"/>
      <c r="D20" s="261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61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74" t="s">
        <v>81</v>
      </c>
      <c r="AA20" s="98"/>
      <c r="AB20" s="98"/>
      <c r="AC20" s="126"/>
      <c r="AD20" s="179">
        <v>10</v>
      </c>
      <c r="AE20" s="174" t="s">
        <v>154</v>
      </c>
      <c r="AF20" s="174" t="s">
        <v>143</v>
      </c>
      <c r="AG20" s="174" t="s">
        <v>143</v>
      </c>
      <c r="AH20" s="102">
        <v>0.9</v>
      </c>
      <c r="AI20" s="104">
        <f>'[1]ESTRUCTURA PONDERACIÓN'!$E$71/2</f>
        <v>2.666666666666667E-3</v>
      </c>
      <c r="AJ20" s="102">
        <f>'[3]LEGALIDAD EFIC. ADVA  2013'!$R$13</f>
        <v>0.97</v>
      </c>
      <c r="AK20" s="102">
        <f t="shared" si="6"/>
        <v>1</v>
      </c>
      <c r="AL20" s="106">
        <f t="shared" si="7"/>
        <v>2.666666666666667E-3</v>
      </c>
      <c r="AM20" s="174" t="s">
        <v>143</v>
      </c>
      <c r="AN20" s="174" t="s">
        <v>143</v>
      </c>
      <c r="AO20" s="174" t="s">
        <v>143</v>
      </c>
      <c r="AP20" s="174" t="s">
        <v>143</v>
      </c>
      <c r="AQ20" s="174" t="s">
        <v>143</v>
      </c>
      <c r="AR20" s="174" t="s">
        <v>143</v>
      </c>
      <c r="AS20" s="262"/>
      <c r="AT20" s="97"/>
      <c r="AU20" s="108">
        <v>1</v>
      </c>
      <c r="AV20" s="104">
        <v>1.2999999999999999E-3</v>
      </c>
      <c r="AW20" s="184">
        <v>0.99</v>
      </c>
      <c r="AX20" s="116">
        <f>IF(AW20&gt;AU20,100%,AW20/AU20)</f>
        <v>0.99</v>
      </c>
      <c r="AY20" s="106">
        <f t="shared" si="4"/>
        <v>1.2869999999999999E-3</v>
      </c>
      <c r="BA20" s="128">
        <f>(0.4%/3)</f>
        <v>1.3333333333333333E-3</v>
      </c>
    </row>
    <row r="21" spans="1:54" ht="36" hidden="1" customHeight="1" x14ac:dyDescent="0.25">
      <c r="A21" s="276"/>
      <c r="B21" s="263"/>
      <c r="C21" s="263"/>
      <c r="D21" s="261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 t="s">
        <v>127</v>
      </c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74" t="s">
        <v>84</v>
      </c>
      <c r="AA21" s="98"/>
      <c r="AB21" s="98"/>
      <c r="AC21" s="174" t="s">
        <v>83</v>
      </c>
      <c r="AD21" s="174"/>
      <c r="AE21" s="174"/>
      <c r="AF21" s="111">
        <v>1</v>
      </c>
      <c r="AG21" s="111">
        <v>1</v>
      </c>
      <c r="AH21" s="102">
        <v>1</v>
      </c>
      <c r="AI21" s="104">
        <f>'[1]ESTRUCTURA PONDERACIÓN'!$E$72</f>
        <v>3.5555555555555566E-3</v>
      </c>
      <c r="AJ21" s="102">
        <f>'[3]LEGALIDAD EFIC. ADVA  2013'!$R$34</f>
        <v>1</v>
      </c>
      <c r="AK21" s="102">
        <f t="shared" si="6"/>
        <v>1</v>
      </c>
      <c r="AL21" s="106">
        <f t="shared" si="7"/>
        <v>3.5555555555555566E-3</v>
      </c>
      <c r="AM21" s="111">
        <v>1</v>
      </c>
      <c r="AN21" s="111">
        <v>1</v>
      </c>
      <c r="AO21" s="111">
        <v>1</v>
      </c>
      <c r="AP21" s="111">
        <v>1</v>
      </c>
      <c r="AQ21" s="111">
        <v>1</v>
      </c>
      <c r="AR21" s="111">
        <v>1</v>
      </c>
      <c r="AS21" s="262"/>
      <c r="AT21" s="97"/>
      <c r="AU21" s="111"/>
      <c r="AV21" s="104"/>
      <c r="AW21" s="109"/>
      <c r="AX21" s="109"/>
      <c r="AY21" s="106"/>
    </row>
    <row r="22" spans="1:54" ht="27.6" customHeight="1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97"/>
      <c r="AU22" s="118"/>
      <c r="AV22" s="118"/>
      <c r="AW22" s="119"/>
      <c r="AX22" s="120"/>
      <c r="AY22" s="129"/>
    </row>
    <row r="23" spans="1:54" ht="47.25" customHeight="1" x14ac:dyDescent="0.25">
      <c r="A23" s="270" t="s">
        <v>85</v>
      </c>
      <c r="B23" s="263" t="s">
        <v>51</v>
      </c>
      <c r="C23" s="261" t="s">
        <v>67</v>
      </c>
      <c r="D23" s="261" t="s">
        <v>130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261" t="s">
        <v>129</v>
      </c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 t="s">
        <v>86</v>
      </c>
      <c r="AA23" s="98"/>
      <c r="AB23" s="98"/>
      <c r="AC23" s="199" t="s">
        <v>53</v>
      </c>
      <c r="AD23" s="179">
        <v>11</v>
      </c>
      <c r="AE23" s="174" t="s">
        <v>239</v>
      </c>
      <c r="AF23" s="113" t="s">
        <v>178</v>
      </c>
      <c r="AG23" s="111" t="s">
        <v>178</v>
      </c>
      <c r="AH23" s="130">
        <v>0.94</v>
      </c>
      <c r="AI23" s="104">
        <f>'[1]ESTRUCTURA PONDERACIÓN'!$E$22/2</f>
        <v>3.3333333333333332E-4</v>
      </c>
      <c r="AJ23" s="104">
        <f>'[4]PARTICIPACIÓN SOCIAL 2013'!$R$19</f>
        <v>0.94699999999999995</v>
      </c>
      <c r="AK23" s="102">
        <f>IF(AJ23&gt;AH23,100%,AJ23/AH23)</f>
        <v>1</v>
      </c>
      <c r="AL23" s="106">
        <f t="shared" ref="AL23:AL35" si="8">AK23*AI23</f>
        <v>3.3333333333333332E-4</v>
      </c>
      <c r="AM23" s="111" t="s">
        <v>178</v>
      </c>
      <c r="AN23" s="111" t="s">
        <v>178</v>
      </c>
      <c r="AO23" s="111" t="s">
        <v>178</v>
      </c>
      <c r="AP23" s="111" t="s">
        <v>178</v>
      </c>
      <c r="AQ23" s="111" t="s">
        <v>178</v>
      </c>
      <c r="AR23" s="111" t="s">
        <v>178</v>
      </c>
      <c r="AS23" s="257">
        <v>16</v>
      </c>
      <c r="AT23" s="97"/>
      <c r="AU23" s="123">
        <v>0.98</v>
      </c>
      <c r="AV23" s="101">
        <v>2.2000000000000001E-3</v>
      </c>
      <c r="AW23" s="108">
        <v>0.89</v>
      </c>
      <c r="AX23" s="188">
        <f>IF(AW23&gt;AU23,100%,AW23/AU23)</f>
        <v>0.90816326530612246</v>
      </c>
      <c r="AY23" s="106">
        <f t="shared" si="4"/>
        <v>1.9979591836734693E-3</v>
      </c>
    </row>
    <row r="24" spans="1:54" ht="40.15" customHeight="1" x14ac:dyDescent="0.25">
      <c r="A24" s="271"/>
      <c r="B24" s="263"/>
      <c r="C24" s="261"/>
      <c r="D24" s="261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261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 t="s">
        <v>87</v>
      </c>
      <c r="AA24" s="98"/>
      <c r="AB24" s="98"/>
      <c r="AC24" s="174" t="s">
        <v>88</v>
      </c>
      <c r="AD24" s="179">
        <v>12</v>
      </c>
      <c r="AE24" s="174" t="s">
        <v>228</v>
      </c>
      <c r="AF24" s="113">
        <v>1</v>
      </c>
      <c r="AG24" s="111">
        <v>1</v>
      </c>
      <c r="AH24" s="130">
        <v>1</v>
      </c>
      <c r="AI24" s="104">
        <f>'[1]ESTRUCTURA PONDERACIÓN'!$E$22/2</f>
        <v>3.3333333333333332E-4</v>
      </c>
      <c r="AJ24" s="130">
        <f>'[4]PARTICIPACIÓN SOCIAL 2013'!$R$13</f>
        <v>0.96</v>
      </c>
      <c r="AK24" s="102">
        <f t="shared" ref="AK24:AK35" si="9">IF(AJ24&gt;AH24,100%,AJ24/AH24)</f>
        <v>0.96</v>
      </c>
      <c r="AL24" s="106">
        <f t="shared" si="8"/>
        <v>3.1999999999999997E-4</v>
      </c>
      <c r="AM24" s="111">
        <v>1</v>
      </c>
      <c r="AN24" s="111">
        <v>1</v>
      </c>
      <c r="AO24" s="111">
        <v>1</v>
      </c>
      <c r="AP24" s="111">
        <v>1</v>
      </c>
      <c r="AQ24" s="111">
        <v>1</v>
      </c>
      <c r="AR24" s="111">
        <v>1</v>
      </c>
      <c r="AS24" s="257"/>
      <c r="AT24" s="97"/>
      <c r="AU24" s="123">
        <v>1</v>
      </c>
      <c r="AV24" s="101">
        <v>2.2000000000000001E-3</v>
      </c>
      <c r="AW24" s="108">
        <v>0.98</v>
      </c>
      <c r="AX24" s="188">
        <f>IF(AW24&gt;AU24,100%,AW24/AU24)</f>
        <v>0.98</v>
      </c>
      <c r="AY24" s="106">
        <f t="shared" si="4"/>
        <v>2.1559999999999999E-3</v>
      </c>
    </row>
    <row r="25" spans="1:54" ht="53.25" customHeight="1" x14ac:dyDescent="0.25">
      <c r="A25" s="271"/>
      <c r="B25" s="263"/>
      <c r="C25" s="198" t="s">
        <v>66</v>
      </c>
      <c r="D25" s="261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74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202" t="s">
        <v>89</v>
      </c>
      <c r="AA25" s="98"/>
      <c r="AB25" s="98"/>
      <c r="AC25" s="98"/>
      <c r="AD25" s="179">
        <v>13</v>
      </c>
      <c r="AE25" s="174" t="s">
        <v>139</v>
      </c>
      <c r="AF25" s="105"/>
      <c r="AG25" s="111" t="s">
        <v>179</v>
      </c>
      <c r="AH25" s="130">
        <v>0.6</v>
      </c>
      <c r="AI25" s="104">
        <f>'[1]ESTRUCTURA PONDERACIÓN'!$E$21</f>
        <v>1E-3</v>
      </c>
      <c r="AJ25" s="130">
        <f>'[4]PARTICIPACIÓN SOCIAL 2013'!$R$27</f>
        <v>0.66</v>
      </c>
      <c r="AK25" s="102">
        <f t="shared" si="9"/>
        <v>1</v>
      </c>
      <c r="AL25" s="106">
        <f t="shared" si="8"/>
        <v>1E-3</v>
      </c>
      <c r="AM25" s="111" t="s">
        <v>140</v>
      </c>
      <c r="AN25" s="111" t="s">
        <v>140</v>
      </c>
      <c r="AO25" s="111" t="s">
        <v>140</v>
      </c>
      <c r="AP25" s="111" t="s">
        <v>140</v>
      </c>
      <c r="AQ25" s="111" t="s">
        <v>140</v>
      </c>
      <c r="AR25" s="111" t="s">
        <v>140</v>
      </c>
      <c r="AS25" s="257"/>
      <c r="AT25" s="97"/>
      <c r="AU25" s="111">
        <v>0.98</v>
      </c>
      <c r="AV25" s="104">
        <v>2.9999999999999997E-4</v>
      </c>
      <c r="AW25" s="108">
        <v>0.93</v>
      </c>
      <c r="AX25" s="188">
        <f>IF(AW25&gt;AU25,100%,AW25/AU25)</f>
        <v>0.94897959183673475</v>
      </c>
      <c r="AY25" s="106">
        <f t="shared" si="4"/>
        <v>2.8469387755102038E-4</v>
      </c>
    </row>
    <row r="26" spans="1:54" ht="43.5" hidden="1" customHeight="1" x14ac:dyDescent="0.25">
      <c r="A26" s="271"/>
      <c r="B26" s="273" t="s">
        <v>42</v>
      </c>
      <c r="C26" s="265" t="s">
        <v>119</v>
      </c>
      <c r="D26" s="263" t="s">
        <v>90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263" t="s">
        <v>91</v>
      </c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2" t="s">
        <v>92</v>
      </c>
      <c r="AA26" s="98"/>
      <c r="AB26" s="98"/>
      <c r="AC26" s="174" t="s">
        <v>74</v>
      </c>
      <c r="AD26" s="179">
        <v>14</v>
      </c>
      <c r="AE26" s="174" t="s">
        <v>142</v>
      </c>
      <c r="AF26" s="107">
        <v>1</v>
      </c>
      <c r="AG26" s="131">
        <v>1</v>
      </c>
      <c r="AH26" s="100">
        <v>1</v>
      </c>
      <c r="AI26" s="104">
        <f>'[5]ESTRUCTURA PONDERACIÓN'!$F$45/2</f>
        <v>2.2250000000000004E-4</v>
      </c>
      <c r="AJ26" s="127">
        <f>'[4]GESTIÓN CONTROL Y EVAL2013'!$R$29</f>
        <v>1</v>
      </c>
      <c r="AK26" s="102">
        <f>IF(AJ26&gt;AH26,100%,AJ26/AH26)</f>
        <v>1</v>
      </c>
      <c r="AL26" s="106">
        <f t="shared" si="8"/>
        <v>2.2250000000000004E-4</v>
      </c>
      <c r="AM26" s="174">
        <v>2</v>
      </c>
      <c r="AN26" s="174">
        <v>3</v>
      </c>
      <c r="AO26" s="174">
        <v>3</v>
      </c>
      <c r="AP26" s="174">
        <v>3</v>
      </c>
      <c r="AQ26" s="174">
        <v>3</v>
      </c>
      <c r="AR26" s="174">
        <v>3</v>
      </c>
      <c r="AS26" s="257"/>
      <c r="AT26" s="98"/>
      <c r="AU26" s="174">
        <v>1.1000000000000001</v>
      </c>
      <c r="AV26" s="101">
        <v>1E-4</v>
      </c>
      <c r="AW26" s="187"/>
      <c r="AX26" s="187"/>
      <c r="AY26" s="106">
        <f t="shared" si="4"/>
        <v>0</v>
      </c>
    </row>
    <row r="27" spans="1:54" ht="61.15" hidden="1" customHeight="1" x14ac:dyDescent="0.25">
      <c r="A27" s="271"/>
      <c r="B27" s="274"/>
      <c r="C27" s="265"/>
      <c r="D27" s="263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63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2"/>
      <c r="AA27" s="98"/>
      <c r="AB27" s="98"/>
      <c r="AC27" s="174"/>
      <c r="AD27" s="179">
        <v>15</v>
      </c>
      <c r="AE27" s="174" t="s">
        <v>141</v>
      </c>
      <c r="AF27" s="132">
        <v>1</v>
      </c>
      <c r="AG27" s="108">
        <v>1</v>
      </c>
      <c r="AH27" s="130">
        <v>1</v>
      </c>
      <c r="AI27" s="104">
        <f>'[1]ESTRUCTURA PONDERACIÓN'!$E$25</f>
        <v>1.5312500000000001E-3</v>
      </c>
      <c r="AJ27" s="130">
        <f>'[4]RESPONSAB. SOCIAL 2013'!$R$31</f>
        <v>0.78</v>
      </c>
      <c r="AK27" s="102">
        <f t="shared" si="9"/>
        <v>0.78</v>
      </c>
      <c r="AL27" s="106">
        <f t="shared" si="8"/>
        <v>1.1943750000000001E-3</v>
      </c>
      <c r="AM27" s="108">
        <v>1</v>
      </c>
      <c r="AN27" s="108">
        <v>1</v>
      </c>
      <c r="AO27" s="108">
        <v>1</v>
      </c>
      <c r="AP27" s="108">
        <v>1</v>
      </c>
      <c r="AQ27" s="108">
        <v>1</v>
      </c>
      <c r="AR27" s="108">
        <v>1</v>
      </c>
      <c r="AS27" s="257"/>
      <c r="AT27" s="97"/>
      <c r="AU27" s="108">
        <v>1</v>
      </c>
      <c r="AV27" s="104">
        <v>8.0000000000000007E-5</v>
      </c>
      <c r="AW27" s="187"/>
      <c r="AX27" s="187"/>
      <c r="AY27" s="106">
        <f t="shared" si="4"/>
        <v>0</v>
      </c>
    </row>
    <row r="28" spans="1:54" ht="45" customHeight="1" x14ac:dyDescent="0.25">
      <c r="A28" s="271"/>
      <c r="B28" s="274"/>
      <c r="C28" s="265"/>
      <c r="D28" s="263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63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2"/>
      <c r="AA28" s="98"/>
      <c r="AB28" s="98"/>
      <c r="AC28" s="174"/>
      <c r="AD28" s="179">
        <v>16</v>
      </c>
      <c r="AE28" s="174" t="s">
        <v>229</v>
      </c>
      <c r="AF28" s="133"/>
      <c r="AG28" s="111" t="s">
        <v>179</v>
      </c>
      <c r="AH28" s="130">
        <v>0.6</v>
      </c>
      <c r="AI28" s="104">
        <f>'[1]ESTRUCTURA PONDERACIÓN'!$E$26</f>
        <v>3.5000000000000005E-3</v>
      </c>
      <c r="AJ28" s="130">
        <f>'[4]RESPONSAB. SOCIAL 2013'!$R$12</f>
        <v>1</v>
      </c>
      <c r="AK28" s="102">
        <f t="shared" si="9"/>
        <v>1</v>
      </c>
      <c r="AL28" s="106">
        <f t="shared" si="8"/>
        <v>3.5000000000000005E-3</v>
      </c>
      <c r="AM28" s="111" t="s">
        <v>180</v>
      </c>
      <c r="AN28" s="111" t="s">
        <v>181</v>
      </c>
      <c r="AO28" s="108">
        <v>1</v>
      </c>
      <c r="AP28" s="108">
        <v>1</v>
      </c>
      <c r="AQ28" s="108">
        <v>1</v>
      </c>
      <c r="AR28" s="108">
        <v>1</v>
      </c>
      <c r="AS28" s="257"/>
      <c r="AT28" s="97"/>
      <c r="AU28" s="111">
        <v>0.85</v>
      </c>
      <c r="AV28" s="104">
        <v>1.7000000000000001E-4</v>
      </c>
      <c r="AW28" s="185">
        <v>0.32</v>
      </c>
      <c r="AX28" s="121">
        <f>IF(AW28&gt;AU28,100%,AW28/AU28)</f>
        <v>0.37647058823529411</v>
      </c>
      <c r="AY28" s="106">
        <f t="shared" si="4"/>
        <v>6.3999999999999997E-5</v>
      </c>
    </row>
    <row r="29" spans="1:54" ht="48.75" customHeight="1" x14ac:dyDescent="0.25">
      <c r="A29" s="271"/>
      <c r="B29" s="274"/>
      <c r="C29" s="265"/>
      <c r="D29" s="263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63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2"/>
      <c r="AA29" s="98"/>
      <c r="AB29" s="98"/>
      <c r="AC29" s="98"/>
      <c r="AD29" s="179">
        <v>17</v>
      </c>
      <c r="AE29" s="174" t="s">
        <v>230</v>
      </c>
      <c r="AF29" s="107"/>
      <c r="AG29" s="174"/>
      <c r="AH29" s="130"/>
      <c r="AI29" s="104"/>
      <c r="AJ29" s="130"/>
      <c r="AK29" s="102"/>
      <c r="AL29" s="106"/>
      <c r="AM29" s="174"/>
      <c r="AN29" s="174"/>
      <c r="AO29" s="174"/>
      <c r="AP29" s="174"/>
      <c r="AQ29" s="174"/>
      <c r="AR29" s="174"/>
      <c r="AS29" s="257"/>
      <c r="AT29" s="97"/>
      <c r="AU29" s="108">
        <v>0.9</v>
      </c>
      <c r="AV29" s="134">
        <v>1E-4</v>
      </c>
      <c r="AW29" s="108">
        <v>0.84</v>
      </c>
      <c r="AX29" s="188">
        <f>IF(AW29&gt;AU29,100%,AW29/AU29)</f>
        <v>0.93333333333333324</v>
      </c>
      <c r="AY29" s="106">
        <f t="shared" si="4"/>
        <v>9.333333333333333E-5</v>
      </c>
    </row>
    <row r="30" spans="1:54" ht="36.75" customHeight="1" x14ac:dyDescent="0.25">
      <c r="A30" s="271"/>
      <c r="B30" s="274"/>
      <c r="C30" s="265"/>
      <c r="D30" s="263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63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2"/>
      <c r="AA30" s="98"/>
      <c r="AB30" s="98"/>
      <c r="AC30" s="98"/>
      <c r="AD30" s="179">
        <v>18</v>
      </c>
      <c r="AE30" s="174" t="s">
        <v>231</v>
      </c>
      <c r="AF30" s="107"/>
      <c r="AG30" s="174"/>
      <c r="AH30" s="130"/>
      <c r="AI30" s="104"/>
      <c r="AJ30" s="130"/>
      <c r="AK30" s="102"/>
      <c r="AL30" s="106"/>
      <c r="AM30" s="174"/>
      <c r="AN30" s="174"/>
      <c r="AO30" s="174"/>
      <c r="AP30" s="174"/>
      <c r="AQ30" s="174"/>
      <c r="AR30" s="174"/>
      <c r="AS30" s="257"/>
      <c r="AT30" s="97"/>
      <c r="AU30" s="118"/>
      <c r="AV30" s="118"/>
      <c r="AW30" s="119"/>
      <c r="AX30" s="120"/>
      <c r="AY30" s="129"/>
    </row>
    <row r="31" spans="1:54" ht="23.45" hidden="1" customHeight="1" x14ac:dyDescent="0.25">
      <c r="A31" s="271"/>
      <c r="B31" s="274"/>
      <c r="C31" s="265"/>
      <c r="D31" s="263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63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2" t="s">
        <v>93</v>
      </c>
      <c r="AA31" s="98"/>
      <c r="AB31" s="98"/>
      <c r="AC31" s="98"/>
      <c r="AD31" s="179">
        <v>19</v>
      </c>
      <c r="AE31" s="174" t="s">
        <v>144</v>
      </c>
      <c r="AF31" s="107" t="s">
        <v>147</v>
      </c>
      <c r="AG31" s="174" t="s">
        <v>147</v>
      </c>
      <c r="AH31" s="130">
        <v>0.9</v>
      </c>
      <c r="AI31" s="104">
        <f>'[1]ESTRUCTURA PONDERACIÓN'!$E$31/3</f>
        <v>1.3333333333333337E-3</v>
      </c>
      <c r="AJ31" s="135">
        <f>'[5]SEGUIMTO PDLLO2012 - 2020'!$E$10</f>
        <v>0</v>
      </c>
      <c r="AK31" s="102">
        <f t="shared" si="9"/>
        <v>0</v>
      </c>
      <c r="AL31" s="106">
        <f t="shared" si="8"/>
        <v>0</v>
      </c>
      <c r="AM31" s="174" t="s">
        <v>147</v>
      </c>
      <c r="AN31" s="174" t="s">
        <v>147</v>
      </c>
      <c r="AO31" s="174" t="s">
        <v>147</v>
      </c>
      <c r="AP31" s="174" t="s">
        <v>147</v>
      </c>
      <c r="AQ31" s="174" t="s">
        <v>147</v>
      </c>
      <c r="AR31" s="174" t="s">
        <v>147</v>
      </c>
      <c r="AS31" s="257"/>
      <c r="AT31" s="97"/>
      <c r="AU31" s="108"/>
      <c r="AV31" s="104"/>
      <c r="AW31" s="108"/>
      <c r="AX31" s="108"/>
      <c r="AY31" s="106">
        <f t="shared" si="4"/>
        <v>0</v>
      </c>
    </row>
    <row r="32" spans="1:54" ht="28.15" hidden="1" customHeight="1" x14ac:dyDescent="0.25">
      <c r="A32" s="271"/>
      <c r="B32" s="274"/>
      <c r="C32" s="265"/>
      <c r="D32" s="263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65" t="s">
        <v>94</v>
      </c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 t="s">
        <v>95</v>
      </c>
      <c r="AA32" s="98"/>
      <c r="AB32" s="98"/>
      <c r="AC32" s="202" t="s">
        <v>100</v>
      </c>
      <c r="AD32" s="179">
        <v>20</v>
      </c>
      <c r="AE32" s="174" t="s">
        <v>145</v>
      </c>
      <c r="AF32" s="107" t="s">
        <v>147</v>
      </c>
      <c r="AG32" s="174" t="s">
        <v>212</v>
      </c>
      <c r="AH32" s="130">
        <v>0.7</v>
      </c>
      <c r="AI32" s="104">
        <f>'[1]ESTRUCTURA PONDERACIÓN'!$E$31/3</f>
        <v>1.3333333333333337E-3</v>
      </c>
      <c r="AJ32" s="130">
        <v>0.91</v>
      </c>
      <c r="AK32" s="102">
        <f t="shared" si="9"/>
        <v>1</v>
      </c>
      <c r="AL32" s="106">
        <f t="shared" si="8"/>
        <v>1.3333333333333337E-3</v>
      </c>
      <c r="AM32" s="174" t="s">
        <v>147</v>
      </c>
      <c r="AN32" s="174" t="s">
        <v>147</v>
      </c>
      <c r="AO32" s="174" t="s">
        <v>147</v>
      </c>
      <c r="AP32" s="174" t="s">
        <v>147</v>
      </c>
      <c r="AQ32" s="174" t="s">
        <v>147</v>
      </c>
      <c r="AR32" s="174" t="s">
        <v>147</v>
      </c>
      <c r="AS32" s="257"/>
      <c r="AT32" s="97"/>
      <c r="AU32" s="108">
        <v>0.7</v>
      </c>
      <c r="AV32" s="101"/>
      <c r="AW32" s="108"/>
      <c r="AX32" s="108"/>
      <c r="AY32" s="106">
        <f t="shared" si="4"/>
        <v>0</v>
      </c>
      <c r="BA32" s="101">
        <v>4.0000000000000001E-3</v>
      </c>
      <c r="BB32" s="101">
        <v>2.3E-3</v>
      </c>
    </row>
    <row r="33" spans="1:54" ht="24" hidden="1" customHeight="1" x14ac:dyDescent="0.25">
      <c r="A33" s="271"/>
      <c r="B33" s="274"/>
      <c r="C33" s="265"/>
      <c r="D33" s="263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65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 t="s">
        <v>96</v>
      </c>
      <c r="AA33" s="98"/>
      <c r="AB33" s="98"/>
      <c r="AC33" s="174"/>
      <c r="AD33" s="179">
        <v>21</v>
      </c>
      <c r="AE33" s="174" t="s">
        <v>146</v>
      </c>
      <c r="AF33" s="174" t="s">
        <v>147</v>
      </c>
      <c r="AG33" s="174" t="s">
        <v>147</v>
      </c>
      <c r="AH33" s="130">
        <v>0.9</v>
      </c>
      <c r="AI33" s="104">
        <f>'[1]ESTRUCTURA PONDERACIÓN'!$E$31/3</f>
        <v>1.3333333333333337E-3</v>
      </c>
      <c r="AJ33" s="130">
        <v>0.90329999999999999</v>
      </c>
      <c r="AK33" s="102">
        <f t="shared" si="9"/>
        <v>1</v>
      </c>
      <c r="AL33" s="106">
        <f t="shared" si="8"/>
        <v>1.3333333333333337E-3</v>
      </c>
      <c r="AM33" s="174" t="s">
        <v>147</v>
      </c>
      <c r="AN33" s="174" t="s">
        <v>147</v>
      </c>
      <c r="AO33" s="174" t="s">
        <v>147</v>
      </c>
      <c r="AP33" s="174" t="s">
        <v>147</v>
      </c>
      <c r="AQ33" s="174" t="s">
        <v>147</v>
      </c>
      <c r="AR33" s="174" t="s">
        <v>147</v>
      </c>
      <c r="AS33" s="257"/>
      <c r="AT33" s="97"/>
      <c r="AU33" s="108"/>
      <c r="AV33" s="136"/>
      <c r="AW33" s="108"/>
      <c r="AX33" s="108"/>
      <c r="AY33" s="106">
        <f t="shared" si="4"/>
        <v>0</v>
      </c>
      <c r="BB33" s="101">
        <f>(BA32-BB32)/6</f>
        <v>2.8333333333333335E-4</v>
      </c>
    </row>
    <row r="34" spans="1:54" ht="36.6" hidden="1" customHeight="1" x14ac:dyDescent="0.25">
      <c r="A34" s="271"/>
      <c r="B34" s="274"/>
      <c r="C34" s="265"/>
      <c r="D34" s="263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65" t="s">
        <v>99</v>
      </c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3" t="s">
        <v>97</v>
      </c>
      <c r="AA34" s="98"/>
      <c r="AB34" s="98"/>
      <c r="AC34" s="174"/>
      <c r="AD34" s="179">
        <v>22</v>
      </c>
      <c r="AE34" s="174" t="s">
        <v>148</v>
      </c>
      <c r="AF34" s="107" t="s">
        <v>183</v>
      </c>
      <c r="AG34" s="131" t="s">
        <v>183</v>
      </c>
      <c r="AH34" s="130">
        <v>0.85</v>
      </c>
      <c r="AI34" s="134">
        <f>'[1]ESTRUCTURA PONDERACIÓN'!$E$38</f>
        <v>1.6000000000000005E-3</v>
      </c>
      <c r="AJ34" s="137">
        <f>'[4]SISTEMA GES ORGAN2013'!$R$30</f>
        <v>0.86399999999999999</v>
      </c>
      <c r="AK34" s="102">
        <f t="shared" si="9"/>
        <v>1</v>
      </c>
      <c r="AL34" s="106">
        <f t="shared" si="8"/>
        <v>1.6000000000000005E-3</v>
      </c>
      <c r="AM34" s="174" t="s">
        <v>147</v>
      </c>
      <c r="AN34" s="174" t="s">
        <v>147</v>
      </c>
      <c r="AO34" s="174" t="s">
        <v>147</v>
      </c>
      <c r="AP34" s="174" t="s">
        <v>147</v>
      </c>
      <c r="AQ34" s="174" t="s">
        <v>147</v>
      </c>
      <c r="AR34" s="174" t="s">
        <v>147</v>
      </c>
      <c r="AS34" s="257"/>
      <c r="AT34" s="98"/>
      <c r="AU34" s="108">
        <v>1</v>
      </c>
      <c r="AV34" s="104">
        <v>5.0000000000000001E-4</v>
      </c>
      <c r="AW34" s="187"/>
      <c r="AX34" s="187"/>
      <c r="AY34" s="106">
        <f t="shared" si="4"/>
        <v>0</v>
      </c>
    </row>
    <row r="35" spans="1:54" ht="33" hidden="1" customHeight="1" x14ac:dyDescent="0.25">
      <c r="A35" s="271"/>
      <c r="B35" s="274"/>
      <c r="C35" s="265"/>
      <c r="D35" s="263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65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3" t="s">
        <v>98</v>
      </c>
      <c r="AA35" s="98"/>
      <c r="AB35" s="98"/>
      <c r="AC35" s="98"/>
      <c r="AD35" s="179">
        <v>23</v>
      </c>
      <c r="AE35" s="174"/>
      <c r="AF35" s="107" t="s">
        <v>184</v>
      </c>
      <c r="AG35" s="174" t="s">
        <v>184</v>
      </c>
      <c r="AH35" s="138">
        <v>1</v>
      </c>
      <c r="AI35" s="134">
        <f>'[1]ESTRUCTURA PONDERACIÓN'!$E$37</f>
        <v>1.5555555555555557E-3</v>
      </c>
      <c r="AJ35" s="138">
        <f>'[4]SISTEMA GES ORGAN2013'!$R$17</f>
        <v>1</v>
      </c>
      <c r="AK35" s="102">
        <f t="shared" si="9"/>
        <v>1</v>
      </c>
      <c r="AL35" s="106">
        <f t="shared" si="8"/>
        <v>1.5555555555555557E-3</v>
      </c>
      <c r="AM35" s="174" t="s">
        <v>185</v>
      </c>
      <c r="AN35" s="174" t="s">
        <v>185</v>
      </c>
      <c r="AO35" s="174" t="s">
        <v>186</v>
      </c>
      <c r="AP35" s="174" t="s">
        <v>186</v>
      </c>
      <c r="AQ35" s="174" t="s">
        <v>186</v>
      </c>
      <c r="AR35" s="174" t="s">
        <v>186</v>
      </c>
      <c r="AS35" s="257"/>
      <c r="AT35" s="97"/>
      <c r="AU35" s="174"/>
      <c r="AW35" s="108"/>
      <c r="AX35" s="108"/>
      <c r="AY35" s="106">
        <f>AV29*AX35</f>
        <v>0</v>
      </c>
    </row>
    <row r="36" spans="1:54" ht="48.75" customHeight="1" x14ac:dyDescent="0.25">
      <c r="A36" s="271"/>
      <c r="B36" s="274"/>
      <c r="C36" s="174"/>
      <c r="D36" s="267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174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 t="s">
        <v>101</v>
      </c>
      <c r="AA36" s="98"/>
      <c r="AB36" s="98"/>
      <c r="AC36" s="174" t="s">
        <v>54</v>
      </c>
      <c r="AD36" s="179">
        <v>24</v>
      </c>
      <c r="AE36" s="174" t="s">
        <v>149</v>
      </c>
      <c r="AF36" s="139"/>
      <c r="AG36" s="140"/>
      <c r="AH36" s="140"/>
      <c r="AI36" s="140"/>
      <c r="AJ36" s="140"/>
      <c r="AK36" s="140"/>
      <c r="AL36" s="140"/>
      <c r="AM36" s="141" t="s">
        <v>164</v>
      </c>
      <c r="AN36" s="141" t="s">
        <v>143</v>
      </c>
      <c r="AO36" s="141" t="s">
        <v>143</v>
      </c>
      <c r="AP36" s="141" t="s">
        <v>143</v>
      </c>
      <c r="AQ36" s="141" t="s">
        <v>143</v>
      </c>
      <c r="AR36" s="141" t="s">
        <v>143</v>
      </c>
      <c r="AS36" s="257"/>
      <c r="AT36" s="97"/>
      <c r="AU36" s="108">
        <v>0.9</v>
      </c>
      <c r="AV36" s="134">
        <v>2.8800000000000002E-3</v>
      </c>
      <c r="AW36" s="108">
        <v>0.88</v>
      </c>
      <c r="AX36" s="188">
        <f>IF(AW36&gt;AU36,100%,AW36/AU36)</f>
        <v>0.97777777777777775</v>
      </c>
      <c r="AY36" s="106">
        <f t="shared" si="4"/>
        <v>2.8159999999999999E-3</v>
      </c>
    </row>
    <row r="37" spans="1:54" ht="43.5" hidden="1" customHeight="1" x14ac:dyDescent="0.25">
      <c r="A37" s="271"/>
      <c r="B37" s="274"/>
      <c r="C37" s="174"/>
      <c r="D37" s="26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174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174" t="s">
        <v>102</v>
      </c>
      <c r="AA37" s="98"/>
      <c r="AB37" s="98"/>
      <c r="AC37" s="98"/>
      <c r="AD37" s="179">
        <v>25</v>
      </c>
      <c r="AE37" s="174"/>
      <c r="AF37" s="139"/>
      <c r="AG37" s="140"/>
      <c r="AH37" s="140"/>
      <c r="AI37" s="140"/>
      <c r="AJ37" s="140"/>
      <c r="AK37" s="140"/>
      <c r="AL37" s="140"/>
      <c r="AM37" s="141" t="s">
        <v>164</v>
      </c>
      <c r="AN37" s="141" t="s">
        <v>143</v>
      </c>
      <c r="AO37" s="141" t="s">
        <v>143</v>
      </c>
      <c r="AP37" s="141" t="s">
        <v>143</v>
      </c>
      <c r="AQ37" s="141" t="s">
        <v>143</v>
      </c>
      <c r="AR37" s="141" t="s">
        <v>143</v>
      </c>
      <c r="AS37" s="257"/>
      <c r="AT37" s="97"/>
      <c r="AU37" s="123"/>
      <c r="AV37" s="134"/>
      <c r="AW37" s="108"/>
      <c r="AX37" s="184"/>
      <c r="AY37" s="106">
        <f t="shared" si="4"/>
        <v>0</v>
      </c>
      <c r="BA37" s="124">
        <v>5.1000000000000004E-3</v>
      </c>
      <c r="BB37" s="142">
        <f>BA37/7</f>
        <v>7.2857142857142858E-4</v>
      </c>
    </row>
    <row r="38" spans="1:54" ht="47.25" hidden="1" customHeight="1" x14ac:dyDescent="0.25">
      <c r="A38" s="271"/>
      <c r="B38" s="274"/>
      <c r="C38" s="174"/>
      <c r="D38" s="20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174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174"/>
      <c r="AA38" s="98"/>
      <c r="AB38" s="98"/>
      <c r="AC38" s="98"/>
      <c r="AD38" s="179">
        <v>26</v>
      </c>
      <c r="AE38" s="174"/>
      <c r="AF38" s="118"/>
      <c r="AG38" s="143"/>
      <c r="AH38" s="143"/>
      <c r="AI38" s="143"/>
      <c r="AJ38" s="143"/>
      <c r="AK38" s="143"/>
      <c r="AL38" s="140"/>
      <c r="AM38" s="141" t="s">
        <v>188</v>
      </c>
      <c r="AN38" s="141" t="s">
        <v>188</v>
      </c>
      <c r="AO38" s="141" t="s">
        <v>188</v>
      </c>
      <c r="AP38" s="141" t="s">
        <v>188</v>
      </c>
      <c r="AQ38" s="141" t="s">
        <v>188</v>
      </c>
      <c r="AR38" s="141" t="s">
        <v>188</v>
      </c>
      <c r="AS38" s="204"/>
      <c r="AT38" s="97"/>
      <c r="AU38" s="144"/>
      <c r="AV38" s="134"/>
      <c r="AW38" s="108"/>
      <c r="AX38" s="184"/>
      <c r="AY38" s="106">
        <f t="shared" si="4"/>
        <v>0</v>
      </c>
    </row>
    <row r="39" spans="1:54" ht="45.75" customHeight="1" x14ac:dyDescent="0.25">
      <c r="A39" s="272"/>
      <c r="B39" s="275"/>
      <c r="C39" s="174"/>
      <c r="D39" s="200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174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174"/>
      <c r="AA39" s="98"/>
      <c r="AB39" s="98"/>
      <c r="AC39" s="98"/>
      <c r="AD39" s="179">
        <v>27</v>
      </c>
      <c r="AE39" s="174" t="s">
        <v>197</v>
      </c>
      <c r="AF39" s="174" t="s">
        <v>143</v>
      </c>
      <c r="AG39" s="174" t="s">
        <v>143</v>
      </c>
      <c r="AH39" s="137">
        <v>1</v>
      </c>
      <c r="AI39" s="134">
        <f>'[1]ESTRUCTURA PONDERACIÓN'!$E$46</f>
        <v>4.4444444444444457E-4</v>
      </c>
      <c r="AJ39" s="137">
        <f>'[4]GESTIÓN CONTROL Y EVAL2013'!$R$48</f>
        <v>1</v>
      </c>
      <c r="AK39" s="102">
        <f>IF(AJ39&gt;AH39,100%,AJ39/AH39)</f>
        <v>1</v>
      </c>
      <c r="AL39" s="106">
        <f>AK39*AI39</f>
        <v>4.4444444444444457E-4</v>
      </c>
      <c r="AM39" s="174" t="s">
        <v>143</v>
      </c>
      <c r="AN39" s="174" t="s">
        <v>143</v>
      </c>
      <c r="AO39" s="174" t="s">
        <v>143</v>
      </c>
      <c r="AP39" s="174" t="s">
        <v>143</v>
      </c>
      <c r="AQ39" s="174" t="s">
        <v>143</v>
      </c>
      <c r="AR39" s="174" t="s">
        <v>143</v>
      </c>
      <c r="AS39" s="204"/>
      <c r="AT39" s="97"/>
      <c r="AU39" s="108">
        <v>0.55000000000000004</v>
      </c>
      <c r="AV39" s="145">
        <v>2.7E-4</v>
      </c>
      <c r="AW39" s="108">
        <v>0.33</v>
      </c>
      <c r="AX39" s="121">
        <f>IF(AW39&gt;AU39,100%,AW39/AU39)</f>
        <v>0.6</v>
      </c>
      <c r="AY39" s="106">
        <f t="shared" si="4"/>
        <v>1.6200000000000001E-4</v>
      </c>
    </row>
    <row r="40" spans="1:54" ht="30" customHeight="1" x14ac:dyDescent="0.2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97"/>
      <c r="AU40" s="118"/>
      <c r="AV40" s="118"/>
      <c r="AW40" s="119"/>
      <c r="AX40" s="120"/>
      <c r="AY40" s="146"/>
    </row>
    <row r="41" spans="1:54" ht="60.75" hidden="1" customHeight="1" x14ac:dyDescent="0.25">
      <c r="A41" s="269" t="s">
        <v>122</v>
      </c>
      <c r="B41" s="263" t="s">
        <v>43</v>
      </c>
      <c r="C41" s="265" t="s">
        <v>62</v>
      </c>
      <c r="D41" s="261" t="s">
        <v>132</v>
      </c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64" t="s">
        <v>131</v>
      </c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0" t="s">
        <v>103</v>
      </c>
      <c r="AA41" s="98"/>
      <c r="AB41" s="98"/>
      <c r="AC41" s="174" t="s">
        <v>37</v>
      </c>
      <c r="AD41" s="179">
        <v>28</v>
      </c>
      <c r="AE41" s="174" t="s">
        <v>236</v>
      </c>
      <c r="AF41" s="147">
        <v>2</v>
      </c>
      <c r="AG41" s="148">
        <v>2</v>
      </c>
      <c r="AH41" s="138">
        <v>2</v>
      </c>
      <c r="AI41" s="134">
        <f>'[5]ESTRUCTURA PONDERACIÓN'!$F$86</f>
        <v>2.2222222222222222E-3</v>
      </c>
      <c r="AJ41" s="138">
        <f>'[6]GESTIÓN DEL CONOCIMIENTO2013'!$R$16</f>
        <v>2</v>
      </c>
      <c r="AK41" s="102">
        <f>IF(AJ41&gt;AH41,100%,AJ41/AH41)</f>
        <v>1</v>
      </c>
      <c r="AL41" s="106">
        <f t="shared" ref="AL41:AL55" si="10">AK41*AI41</f>
        <v>2.2222222222222222E-3</v>
      </c>
      <c r="AM41" s="148">
        <v>2</v>
      </c>
      <c r="AN41" s="148">
        <v>2</v>
      </c>
      <c r="AO41" s="148">
        <v>2</v>
      </c>
      <c r="AP41" s="148">
        <v>2</v>
      </c>
      <c r="AQ41" s="148">
        <v>2</v>
      </c>
      <c r="AR41" s="148">
        <v>2</v>
      </c>
      <c r="AS41" s="257">
        <f>25-9</f>
        <v>16</v>
      </c>
      <c r="AT41" s="97"/>
      <c r="AU41" s="149">
        <v>3</v>
      </c>
      <c r="AV41" s="150">
        <v>7.2999999999999996E-4</v>
      </c>
      <c r="AW41" s="187"/>
      <c r="AX41" s="187"/>
      <c r="AY41" s="106">
        <f t="shared" si="4"/>
        <v>0</v>
      </c>
    </row>
    <row r="42" spans="1:54" ht="38.450000000000003" hidden="1" customHeight="1" x14ac:dyDescent="0.25">
      <c r="A42" s="269"/>
      <c r="B42" s="263"/>
      <c r="C42" s="265"/>
      <c r="D42" s="261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265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 t="s">
        <v>104</v>
      </c>
      <c r="AA42" s="98"/>
      <c r="AB42" s="98"/>
      <c r="AC42" s="174" t="s">
        <v>108</v>
      </c>
      <c r="AD42" s="179">
        <v>29</v>
      </c>
      <c r="AE42" s="174" t="s">
        <v>155</v>
      </c>
      <c r="AF42" s="151" t="s">
        <v>189</v>
      </c>
      <c r="AG42" s="152" t="s">
        <v>189</v>
      </c>
      <c r="AH42" s="137">
        <v>0.72</v>
      </c>
      <c r="AI42" s="134">
        <f>'[5]ESTRUCTURA PONDERACIÓN'!$F$79</f>
        <v>2.2222222222222222E-3</v>
      </c>
      <c r="AJ42" s="137">
        <f>'[6]CAPITAL HUMANO 2013'!$R$82</f>
        <v>0.82</v>
      </c>
      <c r="AK42" s="102">
        <f>IF(AJ42&gt;AH42,100%,AJ42/AH42)</f>
        <v>1</v>
      </c>
      <c r="AL42" s="106">
        <f t="shared" si="10"/>
        <v>2.2222222222222222E-3</v>
      </c>
      <c r="AM42" s="152" t="s">
        <v>189</v>
      </c>
      <c r="AN42" s="152" t="s">
        <v>189</v>
      </c>
      <c r="AO42" s="152" t="s">
        <v>189</v>
      </c>
      <c r="AP42" s="152" t="s">
        <v>189</v>
      </c>
      <c r="AQ42" s="152" t="s">
        <v>189</v>
      </c>
      <c r="AR42" s="152" t="s">
        <v>189</v>
      </c>
      <c r="AS42" s="257"/>
      <c r="AT42" s="97"/>
      <c r="AU42" s="108">
        <v>0.84</v>
      </c>
      <c r="AV42" s="134">
        <v>4.4000000000000002E-4</v>
      </c>
      <c r="AW42" s="187"/>
      <c r="AX42" s="187"/>
      <c r="AY42" s="106">
        <f t="shared" si="4"/>
        <v>0</v>
      </c>
    </row>
    <row r="43" spans="1:54" ht="35.450000000000003" customHeight="1" x14ac:dyDescent="0.25">
      <c r="A43" s="269"/>
      <c r="B43" s="263"/>
      <c r="C43" s="265" t="s">
        <v>134</v>
      </c>
      <c r="D43" s="261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265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1" t="s">
        <v>105</v>
      </c>
      <c r="AA43" s="98"/>
      <c r="AB43" s="98"/>
      <c r="AC43" s="174" t="s">
        <v>120</v>
      </c>
      <c r="AD43" s="179">
        <v>30</v>
      </c>
      <c r="AE43" s="174" t="s">
        <v>156</v>
      </c>
      <c r="AF43" s="153"/>
      <c r="AG43" s="152" t="s">
        <v>194</v>
      </c>
      <c r="AH43" s="137">
        <v>0.6</v>
      </c>
      <c r="AI43" s="134">
        <f>'[5]ESTRUCTURA PONDERACIÓN'!$F$77</f>
        <v>1.3888888888888889E-3</v>
      </c>
      <c r="AJ43" s="137">
        <f>'[6]CAPITAL HUMANO 2013'!$R$16</f>
        <v>0.8</v>
      </c>
      <c r="AK43" s="102">
        <f>IF(AJ43&gt;AH43,100%,AJ43/AH43)</f>
        <v>1</v>
      </c>
      <c r="AL43" s="106">
        <f t="shared" si="10"/>
        <v>1.3888888888888889E-3</v>
      </c>
      <c r="AM43" s="152" t="s">
        <v>192</v>
      </c>
      <c r="AN43" s="152" t="s">
        <v>192</v>
      </c>
      <c r="AO43" s="152" t="s">
        <v>192</v>
      </c>
      <c r="AP43" s="152" t="s">
        <v>192</v>
      </c>
      <c r="AQ43" s="152" t="s">
        <v>192</v>
      </c>
      <c r="AR43" s="152" t="s">
        <v>192</v>
      </c>
      <c r="AS43" s="257"/>
      <c r="AT43" s="97"/>
      <c r="AU43" s="108">
        <v>0.83</v>
      </c>
      <c r="AV43" s="134">
        <v>3.2000000000000003E-4</v>
      </c>
      <c r="AW43" s="184">
        <v>0.86</v>
      </c>
      <c r="AX43" s="116">
        <f t="shared" ref="AX43:AX50" si="11">IF(AW43&gt;AU43,100%,AW43/AU43)</f>
        <v>1</v>
      </c>
      <c r="AY43" s="106">
        <f t="shared" si="4"/>
        <v>3.2000000000000003E-4</v>
      </c>
    </row>
    <row r="44" spans="1:54" ht="40.9" customHeight="1" x14ac:dyDescent="0.25">
      <c r="A44" s="269"/>
      <c r="B44" s="263"/>
      <c r="C44" s="265"/>
      <c r="D44" s="261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65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2" t="s">
        <v>56</v>
      </c>
      <c r="AA44" s="98"/>
      <c r="AB44" s="98"/>
      <c r="AC44" s="98"/>
      <c r="AD44" s="179">
        <v>31</v>
      </c>
      <c r="AE44" s="174" t="s">
        <v>157</v>
      </c>
      <c r="AF44" s="152" t="s">
        <v>187</v>
      </c>
      <c r="AG44" s="152" t="s">
        <v>187</v>
      </c>
      <c r="AH44" s="137">
        <v>0.95</v>
      </c>
      <c r="AI44" s="134">
        <f>'[5]ESTRUCTURA PONDERACIÓN'!$F$78</f>
        <v>2.2222222222222222E-3</v>
      </c>
      <c r="AJ44" s="137">
        <f>'[6]CAPITAL HUMANO 2013'!$R$60</f>
        <v>1</v>
      </c>
      <c r="AK44" s="102">
        <f>IF(AJ44&gt;AH44,100%,AJ44/AH44)</f>
        <v>1</v>
      </c>
      <c r="AL44" s="106">
        <f t="shared" si="10"/>
        <v>2.2222222222222222E-3</v>
      </c>
      <c r="AM44" s="152" t="s">
        <v>187</v>
      </c>
      <c r="AN44" s="152" t="s">
        <v>187</v>
      </c>
      <c r="AO44" s="152" t="s">
        <v>187</v>
      </c>
      <c r="AP44" s="152" t="s">
        <v>187</v>
      </c>
      <c r="AQ44" s="152" t="s">
        <v>187</v>
      </c>
      <c r="AR44" s="152" t="s">
        <v>187</v>
      </c>
      <c r="AS44" s="257"/>
      <c r="AT44" s="97"/>
      <c r="AU44" s="108">
        <v>0.35</v>
      </c>
      <c r="AV44" s="134">
        <v>1.48E-3</v>
      </c>
      <c r="AW44" s="184">
        <v>0.35</v>
      </c>
      <c r="AX44" s="116">
        <f t="shared" si="11"/>
        <v>1</v>
      </c>
      <c r="AY44" s="106">
        <f t="shared" si="4"/>
        <v>1.48E-3</v>
      </c>
    </row>
    <row r="45" spans="1:54" ht="33" customHeight="1" x14ac:dyDescent="0.25">
      <c r="A45" s="269"/>
      <c r="B45" s="263"/>
      <c r="C45" s="265"/>
      <c r="D45" s="261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6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 t="s">
        <v>106</v>
      </c>
      <c r="AA45" s="98"/>
      <c r="AB45" s="98"/>
      <c r="AC45" s="174" t="s">
        <v>70</v>
      </c>
      <c r="AD45" s="179">
        <v>32</v>
      </c>
      <c r="AE45" s="174" t="s">
        <v>158</v>
      </c>
      <c r="AF45" s="152">
        <v>1</v>
      </c>
      <c r="AG45" s="152">
        <v>1</v>
      </c>
      <c r="AH45" s="137">
        <v>1</v>
      </c>
      <c r="AI45" s="134">
        <f>'[5]ESTRUCTURA PONDERACIÓN'!$F$80/2</f>
        <v>2.7777777777777778E-4</v>
      </c>
      <c r="AJ45" s="137">
        <f>'[6]CAPITAL HUMANO 2013'!$R$69</f>
        <v>1</v>
      </c>
      <c r="AK45" s="102">
        <f t="shared" ref="AK45:AK55" si="12">IF(AJ45&gt;AH45,100%,AJ45/AH45)</f>
        <v>1</v>
      </c>
      <c r="AL45" s="106">
        <f t="shared" si="10"/>
        <v>2.7777777777777778E-4</v>
      </c>
      <c r="AM45" s="152">
        <v>1</v>
      </c>
      <c r="AN45" s="152">
        <v>1</v>
      </c>
      <c r="AO45" s="152">
        <v>1</v>
      </c>
      <c r="AP45" s="152">
        <v>1</v>
      </c>
      <c r="AQ45" s="152">
        <v>1</v>
      </c>
      <c r="AR45" s="152">
        <v>1</v>
      </c>
      <c r="AS45" s="257"/>
      <c r="AT45" s="97"/>
      <c r="AU45" s="111">
        <v>1</v>
      </c>
      <c r="AV45" s="134">
        <v>2.0000000000000001E-4</v>
      </c>
      <c r="AW45" s="184">
        <v>1</v>
      </c>
      <c r="AX45" s="116">
        <f t="shared" si="11"/>
        <v>1</v>
      </c>
      <c r="AY45" s="106">
        <f t="shared" si="4"/>
        <v>2.0000000000000001E-4</v>
      </c>
    </row>
    <row r="46" spans="1:54" ht="36.6" customHeight="1" x14ac:dyDescent="0.25">
      <c r="A46" s="269"/>
      <c r="B46" s="263"/>
      <c r="C46" s="265"/>
      <c r="D46" s="261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6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 t="s">
        <v>107</v>
      </c>
      <c r="AA46" s="98"/>
      <c r="AB46" s="98"/>
      <c r="AC46" s="174" t="s">
        <v>109</v>
      </c>
      <c r="AD46" s="179">
        <v>33</v>
      </c>
      <c r="AE46" s="174" t="s">
        <v>159</v>
      </c>
      <c r="AF46" s="151" t="s">
        <v>190</v>
      </c>
      <c r="AG46" s="152" t="s">
        <v>190</v>
      </c>
      <c r="AH46" s="137">
        <v>0.98</v>
      </c>
      <c r="AI46" s="134">
        <f>'[5]ESTRUCTURA PONDERACIÓN'!$F$80/2</f>
        <v>2.7777777777777778E-4</v>
      </c>
      <c r="AJ46" s="137">
        <f>'[6]CAPITAL HUMANO 2013'!$R$70</f>
        <v>0.84819999999999995</v>
      </c>
      <c r="AK46" s="102">
        <f t="shared" si="12"/>
        <v>0.86551020408163259</v>
      </c>
      <c r="AL46" s="106">
        <f t="shared" si="10"/>
        <v>2.4041950113378683E-4</v>
      </c>
      <c r="AM46" s="152" t="s">
        <v>190</v>
      </c>
      <c r="AN46" s="152" t="s">
        <v>190</v>
      </c>
      <c r="AO46" s="152" t="s">
        <v>190</v>
      </c>
      <c r="AP46" s="152" t="s">
        <v>190</v>
      </c>
      <c r="AQ46" s="152" t="s">
        <v>190</v>
      </c>
      <c r="AR46" s="152" t="s">
        <v>190</v>
      </c>
      <c r="AS46" s="257"/>
      <c r="AT46" s="97"/>
      <c r="AU46" s="105"/>
      <c r="AV46" s="192"/>
      <c r="AW46" s="193"/>
      <c r="AX46" s="194"/>
      <c r="AY46" s="189"/>
    </row>
    <row r="47" spans="1:54" ht="34.15" customHeight="1" x14ac:dyDescent="0.25">
      <c r="A47" s="269"/>
      <c r="B47" s="263"/>
      <c r="C47" s="199"/>
      <c r="D47" s="261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202" t="s">
        <v>52</v>
      </c>
      <c r="AA47" s="98"/>
      <c r="AB47" s="98"/>
      <c r="AC47" s="98"/>
      <c r="AD47" s="179">
        <v>34</v>
      </c>
      <c r="AE47" s="174" t="s">
        <v>191</v>
      </c>
      <c r="AF47" s="153"/>
      <c r="AG47" s="152" t="s">
        <v>195</v>
      </c>
      <c r="AH47" s="137">
        <v>0.5</v>
      </c>
      <c r="AI47" s="134">
        <f>'[5]ESTRUCTURA PONDERACIÓN'!$F$79/2</f>
        <v>1.1111111111111111E-3</v>
      </c>
      <c r="AJ47" s="137">
        <f>'[6]CAPITAL HUMANO 2013'!$R$81</f>
        <v>0.45</v>
      </c>
      <c r="AK47" s="102">
        <f t="shared" si="12"/>
        <v>0.9</v>
      </c>
      <c r="AL47" s="106">
        <f t="shared" si="10"/>
        <v>1E-3</v>
      </c>
      <c r="AM47" s="152" t="s">
        <v>196</v>
      </c>
      <c r="AN47" s="152" t="s">
        <v>196</v>
      </c>
      <c r="AO47" s="152" t="s">
        <v>196</v>
      </c>
      <c r="AP47" s="152" t="s">
        <v>196</v>
      </c>
      <c r="AQ47" s="152" t="s">
        <v>196</v>
      </c>
      <c r="AR47" s="152" t="s">
        <v>196</v>
      </c>
      <c r="AS47" s="257"/>
      <c r="AT47" s="97"/>
      <c r="AU47" s="108">
        <v>0.15</v>
      </c>
      <c r="AV47" s="134">
        <v>4.4000000000000002E-4</v>
      </c>
      <c r="AW47" s="184">
        <v>0.12</v>
      </c>
      <c r="AX47" s="175">
        <f t="shared" si="11"/>
        <v>0.8</v>
      </c>
      <c r="AY47" s="106">
        <f t="shared" si="4"/>
        <v>3.5200000000000005E-4</v>
      </c>
    </row>
    <row r="48" spans="1:54" ht="40.9" customHeight="1" x14ac:dyDescent="0.25">
      <c r="A48" s="269"/>
      <c r="B48" s="263"/>
      <c r="C48" s="265" t="s">
        <v>55</v>
      </c>
      <c r="D48" s="261" t="s">
        <v>133</v>
      </c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66" t="s">
        <v>41</v>
      </c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54" t="s">
        <v>110</v>
      </c>
      <c r="AA48" s="98"/>
      <c r="AB48" s="98"/>
      <c r="AC48" s="203" t="s">
        <v>115</v>
      </c>
      <c r="AD48" s="179">
        <v>35</v>
      </c>
      <c r="AE48" s="174" t="s">
        <v>160</v>
      </c>
      <c r="AF48" s="153"/>
      <c r="AG48" s="152" t="s">
        <v>192</v>
      </c>
      <c r="AH48" s="137">
        <v>0.7</v>
      </c>
      <c r="AI48" s="134">
        <f>'[5]ESTRUCTURA PONDERACIÓN'!$F$79/2</f>
        <v>1.1111111111111111E-3</v>
      </c>
      <c r="AJ48" s="137">
        <f>'[6]CAPITAL HUMANO 2013'!$R$80</f>
        <v>0.94</v>
      </c>
      <c r="AK48" s="102">
        <f t="shared" si="12"/>
        <v>1</v>
      </c>
      <c r="AL48" s="106">
        <f t="shared" si="10"/>
        <v>1.1111111111111111E-3</v>
      </c>
      <c r="AM48" s="152" t="s">
        <v>182</v>
      </c>
      <c r="AN48" s="152" t="s">
        <v>182</v>
      </c>
      <c r="AO48" s="152" t="s">
        <v>182</v>
      </c>
      <c r="AP48" s="152" t="s">
        <v>182</v>
      </c>
      <c r="AQ48" s="152" t="s">
        <v>182</v>
      </c>
      <c r="AR48" s="152" t="s">
        <v>182</v>
      </c>
      <c r="AS48" s="257"/>
      <c r="AT48" s="97"/>
      <c r="AU48" s="111">
        <v>0.35</v>
      </c>
      <c r="AV48" s="134">
        <v>4.4000000000000002E-4</v>
      </c>
      <c r="AW48" s="108">
        <v>0.35</v>
      </c>
      <c r="AX48" s="188">
        <f t="shared" si="11"/>
        <v>1</v>
      </c>
      <c r="AY48" s="106">
        <f t="shared" si="4"/>
        <v>4.4000000000000002E-4</v>
      </c>
    </row>
    <row r="49" spans="1:51" ht="32.450000000000003" customHeight="1" x14ac:dyDescent="0.25">
      <c r="A49" s="269"/>
      <c r="B49" s="263"/>
      <c r="C49" s="265"/>
      <c r="D49" s="261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66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203" t="s">
        <v>111</v>
      </c>
      <c r="AA49" s="98"/>
      <c r="AB49" s="98"/>
      <c r="AC49" s="203" t="s">
        <v>116</v>
      </c>
      <c r="AD49" s="179">
        <v>36</v>
      </c>
      <c r="AE49" s="174" t="s">
        <v>161</v>
      </c>
      <c r="AF49" s="152" t="s">
        <v>182</v>
      </c>
      <c r="AG49" s="152" t="s">
        <v>182</v>
      </c>
      <c r="AH49" s="137">
        <v>0.8</v>
      </c>
      <c r="AI49" s="134">
        <f>'[5]ESTRUCTURA PONDERACIÓN'!$F$83</f>
        <v>1.1111111111111111E-3</v>
      </c>
      <c r="AJ49" s="137">
        <f>'[6]CAPITAL HUMANO 2013'!$R$50</f>
        <v>1</v>
      </c>
      <c r="AK49" s="102">
        <f t="shared" si="12"/>
        <v>1</v>
      </c>
      <c r="AL49" s="106">
        <f t="shared" si="10"/>
        <v>1.1111111111111111E-3</v>
      </c>
      <c r="AM49" s="152" t="s">
        <v>182</v>
      </c>
      <c r="AN49" s="152" t="s">
        <v>182</v>
      </c>
      <c r="AO49" s="152" t="s">
        <v>182</v>
      </c>
      <c r="AP49" s="152" t="s">
        <v>182</v>
      </c>
      <c r="AQ49" s="152" t="s">
        <v>182</v>
      </c>
      <c r="AR49" s="152" t="s">
        <v>182</v>
      </c>
      <c r="AS49" s="257"/>
      <c r="AT49" s="97">
        <v>15</v>
      </c>
      <c r="AU49" s="111">
        <v>1</v>
      </c>
      <c r="AV49" s="134">
        <v>2.2000000000000001E-4</v>
      </c>
      <c r="AW49" s="108">
        <v>0.8</v>
      </c>
      <c r="AX49" s="188">
        <f t="shared" si="11"/>
        <v>0.8</v>
      </c>
      <c r="AY49" s="106">
        <f t="shared" si="4"/>
        <v>1.7600000000000002E-4</v>
      </c>
    </row>
    <row r="50" spans="1:51" ht="67.5" customHeight="1" x14ac:dyDescent="0.25">
      <c r="A50" s="269"/>
      <c r="B50" s="263"/>
      <c r="C50" s="265"/>
      <c r="D50" s="261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66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74" t="s">
        <v>112</v>
      </c>
      <c r="AA50" s="98"/>
      <c r="AB50" s="98"/>
      <c r="AC50" s="98"/>
      <c r="AD50" s="179">
        <v>37</v>
      </c>
      <c r="AE50" s="174" t="s">
        <v>235</v>
      </c>
      <c r="AF50" s="148">
        <v>12</v>
      </c>
      <c r="AG50" s="148">
        <v>12</v>
      </c>
      <c r="AH50" s="138">
        <v>12</v>
      </c>
      <c r="AI50" s="134">
        <f>'[5]ESTRUCTURA PONDERACIÓN'!$F$81</f>
        <v>1.1111111111111111E-3</v>
      </c>
      <c r="AJ50" s="138">
        <f>'[6]CAPITAL HUMANO 2013'!$R$98</f>
        <v>12</v>
      </c>
      <c r="AK50" s="102">
        <f t="shared" si="12"/>
        <v>1</v>
      </c>
      <c r="AL50" s="106">
        <f t="shared" si="10"/>
        <v>1.1111111111111111E-3</v>
      </c>
      <c r="AM50" s="148">
        <v>12</v>
      </c>
      <c r="AN50" s="148">
        <v>12</v>
      </c>
      <c r="AO50" s="148">
        <v>12</v>
      </c>
      <c r="AP50" s="148">
        <v>12</v>
      </c>
      <c r="AQ50" s="148">
        <v>12</v>
      </c>
      <c r="AR50" s="148">
        <v>12</v>
      </c>
      <c r="AS50" s="257"/>
      <c r="AT50" s="97"/>
      <c r="AU50" s="111">
        <v>0.44</v>
      </c>
      <c r="AV50" s="134">
        <v>3.6999999999999999E-4</v>
      </c>
      <c r="AW50" s="108">
        <v>0.39</v>
      </c>
      <c r="AX50" s="188">
        <f t="shared" si="11"/>
        <v>0.88636363636363635</v>
      </c>
      <c r="AY50" s="106">
        <f t="shared" si="4"/>
        <v>3.2795454545454545E-4</v>
      </c>
    </row>
    <row r="51" spans="1:51" ht="52.5" hidden="1" customHeight="1" x14ac:dyDescent="0.25">
      <c r="A51" s="269"/>
      <c r="B51" s="263"/>
      <c r="C51" s="265"/>
      <c r="D51" s="261"/>
      <c r="E51" s="200" t="s">
        <v>71</v>
      </c>
      <c r="F51" s="200"/>
      <c r="G51" s="200"/>
      <c r="H51" s="200"/>
      <c r="I51" s="200"/>
      <c r="J51" s="200"/>
      <c r="K51" s="200"/>
      <c r="L51" s="200"/>
      <c r="M51" s="200"/>
      <c r="N51" s="200"/>
      <c r="O51" s="266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74" t="s">
        <v>44</v>
      </c>
      <c r="AA51" s="98"/>
      <c r="AB51" s="98"/>
      <c r="AC51" s="203" t="s">
        <v>117</v>
      </c>
      <c r="AD51" s="179">
        <v>38</v>
      </c>
      <c r="AE51" s="174" t="s">
        <v>237</v>
      </c>
      <c r="AF51" s="147">
        <v>3</v>
      </c>
      <c r="AG51" s="148">
        <v>3</v>
      </c>
      <c r="AH51" s="138">
        <v>3</v>
      </c>
      <c r="AI51" s="134">
        <f>'[5]ESTRUCTURA PONDERACIÓN'!$F$86</f>
        <v>2.2222222222222222E-3</v>
      </c>
      <c r="AJ51" s="138">
        <f>'[6]GESTIÓN DEL CONOCIMIENTO2013'!$R$13</f>
        <v>3</v>
      </c>
      <c r="AK51" s="102">
        <f t="shared" si="12"/>
        <v>1</v>
      </c>
      <c r="AL51" s="106">
        <f t="shared" si="10"/>
        <v>2.2222222222222222E-3</v>
      </c>
      <c r="AM51" s="148">
        <v>3</v>
      </c>
      <c r="AN51" s="148">
        <v>3</v>
      </c>
      <c r="AO51" s="148">
        <v>3</v>
      </c>
      <c r="AP51" s="148">
        <v>3</v>
      </c>
      <c r="AQ51" s="148">
        <v>3</v>
      </c>
      <c r="AR51" s="148">
        <v>3</v>
      </c>
      <c r="AS51" s="257"/>
      <c r="AT51" s="97"/>
      <c r="AU51" s="111">
        <v>0.8</v>
      </c>
      <c r="AV51" s="134">
        <v>5.5999999999999995E-4</v>
      </c>
      <c r="AW51" s="187"/>
      <c r="AX51" s="187"/>
      <c r="AY51" s="106">
        <f t="shared" si="4"/>
        <v>0</v>
      </c>
    </row>
    <row r="52" spans="1:51" ht="78.75" customHeight="1" x14ac:dyDescent="0.25">
      <c r="A52" s="269"/>
      <c r="B52" s="263"/>
      <c r="C52" s="265"/>
      <c r="D52" s="261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66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74" t="s">
        <v>113</v>
      </c>
      <c r="AA52" s="98"/>
      <c r="AB52" s="98"/>
      <c r="AC52" s="203" t="s">
        <v>118</v>
      </c>
      <c r="AD52" s="179">
        <v>39</v>
      </c>
      <c r="AE52" s="174" t="s">
        <v>162</v>
      </c>
      <c r="AF52" s="155">
        <v>4000</v>
      </c>
      <c r="AG52" s="126">
        <v>4000</v>
      </c>
      <c r="AH52" s="138">
        <v>4000</v>
      </c>
      <c r="AI52" s="134">
        <f>'[5]ESTRUCTURA PONDERACIÓN'!$F$87</f>
        <v>2.2222222222222222E-3</v>
      </c>
      <c r="AJ52" s="138">
        <f>'[6]GESTIÓN DEL CONOCIMIENTO2013'!$R$28</f>
        <v>5154</v>
      </c>
      <c r="AK52" s="102">
        <f t="shared" si="12"/>
        <v>1</v>
      </c>
      <c r="AL52" s="106">
        <f t="shared" si="10"/>
        <v>2.2222222222222222E-3</v>
      </c>
      <c r="AM52" s="126">
        <v>4000</v>
      </c>
      <c r="AN52" s="126">
        <v>4000</v>
      </c>
      <c r="AO52" s="126">
        <v>4000</v>
      </c>
      <c r="AP52" s="126">
        <v>4000</v>
      </c>
      <c r="AQ52" s="126">
        <v>4000</v>
      </c>
      <c r="AR52" s="126">
        <v>4000</v>
      </c>
      <c r="AS52" s="257"/>
      <c r="AT52" s="97"/>
      <c r="AU52" s="105"/>
      <c r="AV52" s="192"/>
      <c r="AW52" s="193"/>
      <c r="AX52" s="194"/>
      <c r="AY52" s="189"/>
    </row>
    <row r="53" spans="1:51" ht="42" customHeight="1" x14ac:dyDescent="0.25">
      <c r="A53" s="269"/>
      <c r="B53" s="263"/>
      <c r="C53" s="265"/>
      <c r="D53" s="261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66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74" t="s">
        <v>114</v>
      </c>
      <c r="AA53" s="98"/>
      <c r="AB53" s="98"/>
      <c r="AC53" s="98"/>
      <c r="AD53" s="179">
        <v>40</v>
      </c>
      <c r="AE53" s="174" t="s">
        <v>238</v>
      </c>
      <c r="AF53" s="107" t="s">
        <v>182</v>
      </c>
      <c r="AG53" s="174" t="s">
        <v>182</v>
      </c>
      <c r="AH53" s="137">
        <v>0.8</v>
      </c>
      <c r="AI53" s="134">
        <f>'[5]ESTRUCTURA PONDERACIÓN'!$F$95/3</f>
        <v>6.6666666666666664E-4</v>
      </c>
      <c r="AJ53" s="137">
        <f>[6]TICS2013!$R$44</f>
        <v>0.93</v>
      </c>
      <c r="AK53" s="102">
        <f t="shared" si="12"/>
        <v>1</v>
      </c>
      <c r="AL53" s="106">
        <f t="shared" si="10"/>
        <v>6.6666666666666664E-4</v>
      </c>
      <c r="AM53" s="174" t="s">
        <v>182</v>
      </c>
      <c r="AN53" s="174" t="s">
        <v>182</v>
      </c>
      <c r="AO53" s="174" t="s">
        <v>182</v>
      </c>
      <c r="AP53" s="174" t="s">
        <v>182</v>
      </c>
      <c r="AQ53" s="174" t="s">
        <v>182</v>
      </c>
      <c r="AR53" s="174" t="s">
        <v>182</v>
      </c>
      <c r="AS53" s="257"/>
      <c r="AT53" s="97"/>
      <c r="AU53" s="108">
        <v>0.8</v>
      </c>
      <c r="AV53" s="145">
        <v>4.0000000000000003E-5</v>
      </c>
      <c r="AW53" s="108">
        <v>0.78</v>
      </c>
      <c r="AX53" s="188">
        <f>IF(AW53&gt;AU53,100%,AW53/AU53)</f>
        <v>0.97499999999999998</v>
      </c>
      <c r="AY53" s="106">
        <f t="shared" si="4"/>
        <v>3.8999999999999999E-5</v>
      </c>
    </row>
    <row r="54" spans="1:51" ht="48.75" customHeight="1" x14ac:dyDescent="0.25">
      <c r="A54" s="269"/>
      <c r="B54" s="263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179">
        <v>41</v>
      </c>
      <c r="AE54" s="174" t="s">
        <v>227</v>
      </c>
      <c r="AF54" s="107" t="s">
        <v>164</v>
      </c>
      <c r="AG54" s="174" t="s">
        <v>164</v>
      </c>
      <c r="AH54" s="137">
        <v>0.85</v>
      </c>
      <c r="AI54" s="134">
        <f>'[5]ESTRUCTURA PONDERACIÓN'!$F$95/3</f>
        <v>6.6666666666666664E-4</v>
      </c>
      <c r="AJ54" s="137">
        <f>[6]TICS2013!$R$45</f>
        <v>1</v>
      </c>
      <c r="AK54" s="102">
        <f t="shared" si="12"/>
        <v>1</v>
      </c>
      <c r="AL54" s="106">
        <f t="shared" si="10"/>
        <v>6.6666666666666664E-4</v>
      </c>
      <c r="AM54" s="174" t="s">
        <v>143</v>
      </c>
      <c r="AN54" s="174" t="s">
        <v>143</v>
      </c>
      <c r="AO54" s="174" t="s">
        <v>143</v>
      </c>
      <c r="AP54" s="174" t="s">
        <v>143</v>
      </c>
      <c r="AQ54" s="174" t="s">
        <v>143</v>
      </c>
      <c r="AR54" s="174" t="s">
        <v>143</v>
      </c>
      <c r="AS54" s="257"/>
      <c r="AT54" s="97"/>
      <c r="AU54" s="174">
        <v>4</v>
      </c>
      <c r="AV54" s="134">
        <v>6.0000000000000002E-5</v>
      </c>
      <c r="AW54" s="186">
        <v>2</v>
      </c>
      <c r="AX54" s="109">
        <v>1</v>
      </c>
      <c r="AY54" s="106">
        <f t="shared" si="4"/>
        <v>6.0000000000000002E-5</v>
      </c>
    </row>
    <row r="55" spans="1:51" ht="139.5" customHeight="1" x14ac:dyDescent="0.25">
      <c r="A55" s="269"/>
      <c r="B55" s="263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79">
        <v>42</v>
      </c>
      <c r="AE55" s="174" t="s">
        <v>163</v>
      </c>
      <c r="AF55" s="107" t="s">
        <v>165</v>
      </c>
      <c r="AG55" s="174" t="s">
        <v>165</v>
      </c>
      <c r="AH55" s="137">
        <v>1</v>
      </c>
      <c r="AI55" s="134">
        <f>'[5]ESTRUCTURA PONDERACIÓN'!$F$95/3</f>
        <v>6.6666666666666664E-4</v>
      </c>
      <c r="AJ55" s="137">
        <f>[6]TICS2013!$R$46</f>
        <v>1</v>
      </c>
      <c r="AK55" s="102">
        <f t="shared" si="12"/>
        <v>1</v>
      </c>
      <c r="AL55" s="106">
        <f t="shared" si="10"/>
        <v>6.6666666666666664E-4</v>
      </c>
      <c r="AM55" s="174" t="s">
        <v>165</v>
      </c>
      <c r="AN55" s="174" t="s">
        <v>165</v>
      </c>
      <c r="AO55" s="174" t="s">
        <v>165</v>
      </c>
      <c r="AP55" s="174" t="s">
        <v>165</v>
      </c>
      <c r="AQ55" s="174" t="s">
        <v>165</v>
      </c>
      <c r="AR55" s="174" t="s">
        <v>165</v>
      </c>
      <c r="AS55" s="257"/>
      <c r="AT55" s="97"/>
      <c r="AU55" s="108">
        <v>1</v>
      </c>
      <c r="AV55" s="134">
        <v>6.0000000000000002E-5</v>
      </c>
      <c r="AW55" s="184">
        <v>1</v>
      </c>
      <c r="AX55" s="116">
        <f>IF(AW55&gt;AU55,100%,AW55/AU55)</f>
        <v>1</v>
      </c>
      <c r="AY55" s="106">
        <f t="shared" si="4"/>
        <v>6.0000000000000002E-5</v>
      </c>
    </row>
    <row r="56" spans="1:51" ht="28.15" customHeight="1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208">
        <f>SUM(AS6:AS55)</f>
        <v>46</v>
      </c>
      <c r="AT56" s="97"/>
      <c r="AU56" s="156"/>
      <c r="AV56" s="118"/>
      <c r="AW56" s="119"/>
      <c r="AX56" s="120"/>
      <c r="AY56" s="156"/>
    </row>
    <row r="57" spans="1:51" ht="41.25" hidden="1" customHeight="1" x14ac:dyDescent="0.3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8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9" t="e">
        <f>SUM(AI7:AI7,AI9:AI13,AI16:AI21,AI23:AI24:#REF!,AI32,AI33,AI34:AI35,AI39,AI41:AI55,AI31)</f>
        <v>#REF!</v>
      </c>
      <c r="AJ57" s="157"/>
      <c r="AK57" s="157"/>
      <c r="AL57" s="159" t="e">
        <f>SUM(AL7:AL7,AL9:AL13,AL16:AL21,AL23:AL24:#REF!,AL32,AL33,AL34:AL35,AL39,AL41:AL55,AL31)</f>
        <v>#REF!</v>
      </c>
      <c r="AM57" s="157"/>
      <c r="AN57" s="157"/>
      <c r="AO57" s="157"/>
      <c r="AP57" s="157"/>
      <c r="AQ57" s="157"/>
      <c r="AR57" s="160" t="s">
        <v>193</v>
      </c>
      <c r="AS57" s="161"/>
      <c r="AT57" s="162">
        <f>SUM(AT6:AT56)</f>
        <v>28</v>
      </c>
      <c r="AU57" s="157"/>
      <c r="AV57" s="176">
        <f>SUM(AV58:AV61)</f>
        <v>1.8750000000000003E-2</v>
      </c>
      <c r="AW57" s="163"/>
      <c r="AX57" s="164"/>
      <c r="AY57" s="176">
        <f>SUM(AY58:AY61)</f>
        <v>1.685482047217611E-2</v>
      </c>
    </row>
    <row r="58" spans="1:51" ht="20.25" hidden="1" x14ac:dyDescent="0.25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8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65">
        <v>1</v>
      </c>
      <c r="AH58" s="134">
        <v>0.3</v>
      </c>
      <c r="AI58" s="134">
        <f>SUM(AI7:AI13)</f>
        <v>4.1666666666666664E-2</v>
      </c>
      <c r="AJ58" s="157"/>
      <c r="AK58" s="157"/>
      <c r="AL58" s="134">
        <f>SUM(AL7:AL13)</f>
        <v>3.9166666666666669E-2</v>
      </c>
      <c r="AM58" s="166"/>
      <c r="AN58" s="157"/>
      <c r="AO58" s="157"/>
      <c r="AP58" s="157"/>
      <c r="AQ58" s="157"/>
      <c r="AR58" s="157"/>
      <c r="AS58" s="157"/>
      <c r="AT58" s="157"/>
      <c r="AU58" s="165">
        <v>1</v>
      </c>
      <c r="AV58" s="167">
        <f>SUM(AV14,AV13,AV7,AV8,AV11,AV12)</f>
        <v>4.5999999999999999E-3</v>
      </c>
      <c r="AW58" s="163"/>
      <c r="AX58" s="165">
        <v>1</v>
      </c>
      <c r="AY58" s="167">
        <f>SUM(AY14,AY13,AY7,AY8,AY11,AY12)</f>
        <v>3.6611017543859651E-3</v>
      </c>
    </row>
    <row r="59" spans="1:51" ht="20.25" hidden="1" x14ac:dyDescent="0.2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8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65">
        <v>3</v>
      </c>
      <c r="AH59" s="134">
        <v>0.2</v>
      </c>
      <c r="AI59" s="134">
        <f>SUM(AI16:AI21)</f>
        <v>1.6E-2</v>
      </c>
      <c r="AJ59" s="157"/>
      <c r="AK59" s="157"/>
      <c r="AL59" s="134">
        <f>SUM(AL16:AL21)</f>
        <v>1.598459845984599E-2</v>
      </c>
      <c r="AM59" s="166"/>
      <c r="AN59" s="157"/>
      <c r="AO59" s="157"/>
      <c r="AP59" s="157"/>
      <c r="AQ59" s="157"/>
      <c r="AR59" s="157"/>
      <c r="AS59" s="157"/>
      <c r="AT59" s="157"/>
      <c r="AU59" s="165">
        <v>3</v>
      </c>
      <c r="AV59" s="167">
        <f>SUM(AV16,AV18,AV20)</f>
        <v>2.4000000000000002E-3</v>
      </c>
      <c r="AW59" s="163"/>
      <c r="AX59" s="165">
        <v>3</v>
      </c>
      <c r="AY59" s="167">
        <f>SUM(AY16,AY18,AY20)</f>
        <v>2.1647777777777776E-3</v>
      </c>
    </row>
    <row r="60" spans="1:51" ht="20.25" hidden="1" x14ac:dyDescent="0.2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8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65">
        <v>2</v>
      </c>
      <c r="AH60" s="134">
        <v>0.3</v>
      </c>
      <c r="AI60" s="134">
        <f>SUM(AI23:AI39)</f>
        <v>1.4520416666666671E-2</v>
      </c>
      <c r="AJ60" s="157"/>
      <c r="AK60" s="157"/>
      <c r="AL60" s="134">
        <f>SUM(AL23:AL39)</f>
        <v>1.2836875000000005E-2</v>
      </c>
      <c r="AM60" s="166"/>
      <c r="AN60" s="157"/>
      <c r="AO60" s="157"/>
      <c r="AP60" s="157"/>
      <c r="AQ60" s="157"/>
      <c r="AR60" s="157"/>
      <c r="AS60" s="157"/>
      <c r="AT60" s="157"/>
      <c r="AU60" s="165">
        <v>2</v>
      </c>
      <c r="AV60" s="167">
        <f>SUM(AV23,AV24,AV25,AV28,AV29,AV36,AV39)</f>
        <v>8.1200000000000005E-3</v>
      </c>
      <c r="AW60" s="163"/>
      <c r="AX60" s="165">
        <v>2</v>
      </c>
      <c r="AY60" s="167">
        <f>SUM(AY23,AY24,AY25,AY28,AY29,AY36,AY39)</f>
        <v>7.5739863945578226E-3</v>
      </c>
    </row>
    <row r="61" spans="1:51" ht="20.25" hidden="1" x14ac:dyDescent="0.2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8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65">
        <v>4</v>
      </c>
      <c r="AH61" s="134">
        <v>0.2</v>
      </c>
      <c r="AI61" s="134">
        <f>SUM(AI41:AI55)</f>
        <v>1.95E-2</v>
      </c>
      <c r="AJ61" s="157"/>
      <c r="AK61" s="157"/>
      <c r="AL61" s="134">
        <f>SUM(AL41:AL55)</f>
        <v>1.9351530612244899E-2</v>
      </c>
      <c r="AM61" s="166"/>
      <c r="AN61" s="157"/>
      <c r="AO61" s="157"/>
      <c r="AP61" s="157"/>
      <c r="AQ61" s="157"/>
      <c r="AR61" s="157"/>
      <c r="AS61" s="157"/>
      <c r="AT61" s="157"/>
      <c r="AU61" s="165">
        <v>4</v>
      </c>
      <c r="AV61" s="167">
        <f>SUM(AV43,AV44,AV45,AV46,AV47,AV48,AV49,AV50,AV52,AV53,AV54,AV55)</f>
        <v>3.6300000000000004E-3</v>
      </c>
      <c r="AW61" s="163"/>
      <c r="AX61" s="165">
        <v>4</v>
      </c>
      <c r="AY61" s="167">
        <f>SUM(AY43,AY44,AY45,AY46,AY47,AY48,AY49,AY50,AY52,AY53,AY54,AY55)</f>
        <v>3.4549545454545453E-3</v>
      </c>
    </row>
    <row r="62" spans="1:51" hidden="1" x14ac:dyDescent="0.25">
      <c r="AM62" s="169"/>
    </row>
    <row r="63" spans="1:51" x14ac:dyDescent="0.25">
      <c r="AM63" s="173"/>
    </row>
  </sheetData>
  <sheetProtection password="DE98" sheet="1" objects="1" scenarios="1"/>
  <mergeCells count="47">
    <mergeCell ref="B23:B25"/>
    <mergeCell ref="A23:A39"/>
    <mergeCell ref="C23:C24"/>
    <mergeCell ref="C7:C8"/>
    <mergeCell ref="C16:C21"/>
    <mergeCell ref="B26:B39"/>
    <mergeCell ref="B16:B21"/>
    <mergeCell ref="A16:A21"/>
    <mergeCell ref="C26:C35"/>
    <mergeCell ref="A7:A14"/>
    <mergeCell ref="B12:B14"/>
    <mergeCell ref="C41:C42"/>
    <mergeCell ref="D36:D37"/>
    <mergeCell ref="D26:D35"/>
    <mergeCell ref="A41:A55"/>
    <mergeCell ref="D48:D53"/>
    <mergeCell ref="C48:C53"/>
    <mergeCell ref="B41:B55"/>
    <mergeCell ref="C43:C46"/>
    <mergeCell ref="O41:O46"/>
    <mergeCell ref="D41:D47"/>
    <mergeCell ref="O48:O53"/>
    <mergeCell ref="O26:O31"/>
    <mergeCell ref="O32:O33"/>
    <mergeCell ref="O34:O35"/>
    <mergeCell ref="O23:O24"/>
    <mergeCell ref="D23:D25"/>
    <mergeCell ref="AS6:AS13"/>
    <mergeCell ref="AS16:AS21"/>
    <mergeCell ref="AS23:AS37"/>
    <mergeCell ref="O7:O8"/>
    <mergeCell ref="D16:D21"/>
    <mergeCell ref="O16:O20"/>
    <mergeCell ref="D7:D13"/>
    <mergeCell ref="AS41:AS55"/>
    <mergeCell ref="Z8:Z11"/>
    <mergeCell ref="AE5:AE6"/>
    <mergeCell ref="AC5:AC6"/>
    <mergeCell ref="Z5:Z6"/>
    <mergeCell ref="AF5:AY5"/>
    <mergeCell ref="AD5:AD6"/>
    <mergeCell ref="A1:AY1"/>
    <mergeCell ref="A3:AY3"/>
    <mergeCell ref="Q5:Y5"/>
    <mergeCell ref="F5:N5"/>
    <mergeCell ref="A5:A6"/>
    <mergeCell ref="B5:B6"/>
  </mergeCells>
  <dataValidations count="1">
    <dataValidation allowBlank="1" showErrorMessage="1" sqref="AW7:AW8"/>
  </dataValidations>
  <printOptions horizontalCentered="1" verticalCentered="1"/>
  <pageMargins left="0.31496062992125984" right="0.11811023622047245" top="0.74803149606299213" bottom="0.74803149606299213" header="0.31496062992125984" footer="0.31496062992125984"/>
  <pageSetup scale="47" orientation="portrait" r:id="rId1"/>
  <rowBreaks count="1" manualBreakCount="1">
    <brk id="3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zoomScale="90" zoomScaleNormal="90" workbookViewId="0">
      <selection activeCell="D6" sqref="D6"/>
    </sheetView>
  </sheetViews>
  <sheetFormatPr baseColWidth="10" defaultColWidth="11.5703125" defaultRowHeight="13.5" x14ac:dyDescent="0.25"/>
  <cols>
    <col min="1" max="1" width="11.5703125" style="82"/>
    <col min="2" max="2" width="10.140625" style="82" customWidth="1"/>
    <col min="3" max="3" width="18.28515625" style="82" customWidth="1"/>
    <col min="4" max="4" width="18.42578125" style="82" customWidth="1"/>
    <col min="5" max="5" width="16.5703125" style="82" customWidth="1"/>
    <col min="6" max="6" width="20.7109375" style="82" customWidth="1"/>
    <col min="7" max="16384" width="11.5703125" style="82"/>
  </cols>
  <sheetData>
    <row r="2" spans="2:6" ht="16.149999999999999" customHeight="1" x14ac:dyDescent="0.3">
      <c r="B2" s="80"/>
      <c r="C2" s="81" t="s">
        <v>222</v>
      </c>
      <c r="D2" s="81" t="s">
        <v>215</v>
      </c>
      <c r="E2" s="81" t="s">
        <v>214</v>
      </c>
      <c r="F2" s="81" t="s">
        <v>216</v>
      </c>
    </row>
    <row r="3" spans="2:6" ht="18" customHeight="1" x14ac:dyDescent="0.3">
      <c r="B3" s="83">
        <v>0.3</v>
      </c>
      <c r="C3" s="84" t="s">
        <v>217</v>
      </c>
      <c r="D3" s="85">
        <f>'INDICADORES LINEA'!AV58</f>
        <v>4.5999999999999999E-3</v>
      </c>
      <c r="E3" s="85">
        <f>'INDICADORES LINEA'!AY58</f>
        <v>3.6611017543859651E-3</v>
      </c>
      <c r="F3" s="86">
        <f>E3/D3</f>
        <v>0.79589168573607938</v>
      </c>
    </row>
    <row r="4" spans="2:6" ht="14.25" x14ac:dyDescent="0.3">
      <c r="B4" s="83">
        <v>0.3</v>
      </c>
      <c r="C4" s="84" t="s">
        <v>218</v>
      </c>
      <c r="D4" s="85">
        <f>'INDICADORES LINEA'!AV60</f>
        <v>8.1200000000000005E-3</v>
      </c>
      <c r="E4" s="85">
        <f>'INDICADORES LINEA'!AY60</f>
        <v>7.5739863945578226E-3</v>
      </c>
      <c r="F4" s="86">
        <f t="shared" ref="F4:F7" si="0">E4/D4</f>
        <v>0.93275694514258889</v>
      </c>
    </row>
    <row r="5" spans="2:6" ht="14.25" x14ac:dyDescent="0.3">
      <c r="B5" s="83">
        <v>0.2</v>
      </c>
      <c r="C5" s="84" t="s">
        <v>219</v>
      </c>
      <c r="D5" s="85">
        <f>'INDICADORES LINEA'!AV59</f>
        <v>2.4000000000000002E-3</v>
      </c>
      <c r="E5" s="85">
        <f>'INDICADORES LINEA'!AY59</f>
        <v>2.1647777777777776E-3</v>
      </c>
      <c r="F5" s="86">
        <f t="shared" si="0"/>
        <v>0.90199074074074059</v>
      </c>
    </row>
    <row r="6" spans="2:6" ht="14.25" x14ac:dyDescent="0.3">
      <c r="B6" s="83">
        <v>0.2</v>
      </c>
      <c r="C6" s="84" t="s">
        <v>220</v>
      </c>
      <c r="D6" s="85">
        <f>'INDICADORES LINEA'!AV61</f>
        <v>3.6300000000000004E-3</v>
      </c>
      <c r="E6" s="85">
        <f>'INDICADORES LINEA'!AY61</f>
        <v>3.4549545454545453E-3</v>
      </c>
      <c r="F6" s="86">
        <f t="shared" si="0"/>
        <v>0.95177811169546689</v>
      </c>
    </row>
    <row r="7" spans="2:6" x14ac:dyDescent="0.25">
      <c r="B7" s="87">
        <f>SUM(B3:B6)</f>
        <v>1</v>
      </c>
      <c r="C7" s="81" t="s">
        <v>221</v>
      </c>
      <c r="D7" s="88">
        <f>SUM(D3:D6)</f>
        <v>1.8750000000000003E-2</v>
      </c>
      <c r="E7" s="88">
        <f>SUM(E3:E6)</f>
        <v>1.685482047217611E-2</v>
      </c>
      <c r="F7" s="89">
        <f t="shared" si="0"/>
        <v>0.8989237585160591</v>
      </c>
    </row>
    <row r="31" spans="2:6" ht="27" customHeight="1" x14ac:dyDescent="0.3">
      <c r="B31" s="80"/>
      <c r="C31" s="178" t="s">
        <v>222</v>
      </c>
      <c r="D31" s="178" t="s">
        <v>215</v>
      </c>
      <c r="E31" s="178" t="s">
        <v>214</v>
      </c>
      <c r="F31" s="178" t="s">
        <v>216</v>
      </c>
    </row>
    <row r="32" spans="2:6" ht="21" customHeight="1" x14ac:dyDescent="0.25">
      <c r="B32" s="280">
        <v>0.3</v>
      </c>
      <c r="C32" s="81" t="s">
        <v>217</v>
      </c>
      <c r="D32" s="88">
        <f>SUM(D33:D36)</f>
        <v>4.5999999999999999E-3</v>
      </c>
      <c r="E32" s="88">
        <f>SUM(E33:E36)</f>
        <v>3.6611017543859651E-3</v>
      </c>
      <c r="F32" s="88">
        <f t="shared" ref="F32:F44" si="1">E32/D32</f>
        <v>0.79589168573607938</v>
      </c>
    </row>
    <row r="33" spans="2:6" ht="21" customHeight="1" x14ac:dyDescent="0.3">
      <c r="B33" s="282"/>
      <c r="C33" s="90" t="s">
        <v>51</v>
      </c>
      <c r="D33" s="85">
        <f>'INDICADORES LINEA'!AV7</f>
        <v>1.4E-3</v>
      </c>
      <c r="E33" s="91">
        <f>'INDICADORES LINEA'!AY7</f>
        <v>6.9999999999999999E-4</v>
      </c>
      <c r="F33" s="86">
        <f t="shared" si="1"/>
        <v>0.5</v>
      </c>
    </row>
    <row r="34" spans="2:6" ht="31.15" customHeight="1" x14ac:dyDescent="0.3">
      <c r="B34" s="282"/>
      <c r="C34" s="90" t="s">
        <v>224</v>
      </c>
      <c r="D34" s="85">
        <f>'INDICADORES LINEA'!AV8</f>
        <v>1.2E-4</v>
      </c>
      <c r="E34" s="91">
        <f>'INDICADORES LINEA'!AY8</f>
        <v>1.0133333333333333E-4</v>
      </c>
      <c r="F34" s="86">
        <f t="shared" si="1"/>
        <v>0.84444444444444444</v>
      </c>
    </row>
    <row r="35" spans="2:6" ht="28.9" customHeight="1" x14ac:dyDescent="0.3">
      <c r="B35" s="282"/>
      <c r="C35" s="90" t="s">
        <v>43</v>
      </c>
      <c r="D35" s="85">
        <f>'INDICADORES LINEA'!AV11</f>
        <v>1.0399999999999999E-3</v>
      </c>
      <c r="E35" s="85">
        <f>'INDICADORES LINEA'!AY11</f>
        <v>1.0399999999999999E-3</v>
      </c>
      <c r="F35" s="86">
        <f t="shared" si="1"/>
        <v>1</v>
      </c>
    </row>
    <row r="36" spans="2:6" ht="28.9" customHeight="1" x14ac:dyDescent="0.3">
      <c r="B36" s="281"/>
      <c r="C36" s="90" t="s">
        <v>42</v>
      </c>
      <c r="D36" s="85">
        <f>'INDICADORES LINEA'!AV12+'INDICADORES LINEA'!AV13+'INDICADORES LINEA'!AV14</f>
        <v>2.0400000000000001E-3</v>
      </c>
      <c r="E36" s="85">
        <f>'INDICADORES LINEA'!AY12+'INDICADORES LINEA'!AY13+'INDICADORES LINEA'!AY14</f>
        <v>1.8197684210526316E-3</v>
      </c>
      <c r="F36" s="86">
        <f t="shared" si="1"/>
        <v>0.89204334365325078</v>
      </c>
    </row>
    <row r="37" spans="2:6" ht="22.15" customHeight="1" x14ac:dyDescent="0.25">
      <c r="B37" s="280">
        <v>0.3</v>
      </c>
      <c r="C37" s="81" t="s">
        <v>218</v>
      </c>
      <c r="D37" s="88">
        <f>SUM(D38:D39)</f>
        <v>8.1200000000000005E-3</v>
      </c>
      <c r="E37" s="88">
        <f>E38+E39</f>
        <v>7.5739863945578226E-3</v>
      </c>
      <c r="F37" s="88">
        <f t="shared" si="1"/>
        <v>0.93275694514258889</v>
      </c>
    </row>
    <row r="38" spans="2:6" ht="25.9" customHeight="1" x14ac:dyDescent="0.3">
      <c r="B38" s="282"/>
      <c r="C38" s="90" t="s">
        <v>51</v>
      </c>
      <c r="D38" s="85">
        <f>'INDICADORES LINEA'!AV23+'INDICADORES LINEA'!AV24+'INDICADORES LINEA'!AV25</f>
        <v>4.7000000000000002E-3</v>
      </c>
      <c r="E38" s="85">
        <f>'INDICADORES LINEA'!AY23+'INDICADORES LINEA'!AY24+'INDICADORES LINEA'!AY25</f>
        <v>4.4386530612244898E-3</v>
      </c>
      <c r="F38" s="86">
        <f t="shared" si="1"/>
        <v>0.94439426834563611</v>
      </c>
    </row>
    <row r="39" spans="2:6" ht="24" customHeight="1" x14ac:dyDescent="0.3">
      <c r="B39" s="281"/>
      <c r="C39" s="90" t="s">
        <v>42</v>
      </c>
      <c r="D39" s="85">
        <f>'INDICADORES LINEA'!AV28+'INDICADORES LINEA'!AV29+'INDICADORES LINEA'!AV30+'INDICADORES LINEA'!AV36+'INDICADORES LINEA'!AV39</f>
        <v>3.4199999999999999E-3</v>
      </c>
      <c r="E39" s="85">
        <f>'INDICADORES LINEA'!AY28+'INDICADORES LINEA'!AY29+'INDICADORES LINEA'!AY30+'INDICADORES LINEA'!AY36+'INDICADORES LINEA'!AY39</f>
        <v>3.1353333333333329E-3</v>
      </c>
      <c r="F39" s="86">
        <f t="shared" si="1"/>
        <v>0.91676413255360611</v>
      </c>
    </row>
    <row r="40" spans="2:6" ht="19.149999999999999" customHeight="1" x14ac:dyDescent="0.25">
      <c r="B40" s="280">
        <v>0.2</v>
      </c>
      <c r="C40" s="81" t="s">
        <v>219</v>
      </c>
      <c r="D40" s="88">
        <f>D41</f>
        <v>2.4000000000000002E-3</v>
      </c>
      <c r="E40" s="88">
        <f>E41</f>
        <v>2.1647777777777776E-3</v>
      </c>
      <c r="F40" s="88">
        <f t="shared" si="1"/>
        <v>0.90199074074074059</v>
      </c>
    </row>
    <row r="41" spans="2:6" ht="27.6" customHeight="1" x14ac:dyDescent="0.3">
      <c r="B41" s="281"/>
      <c r="C41" s="90" t="s">
        <v>45</v>
      </c>
      <c r="D41" s="85">
        <f>'INDICADORES LINEA'!AV16+'INDICADORES LINEA'!AV18+'INDICADORES LINEA'!AV20</f>
        <v>2.4000000000000002E-3</v>
      </c>
      <c r="E41" s="85">
        <f>'INDICADORES LINEA'!AY16+'INDICADORES LINEA'!AY18+'INDICADORES LINEA'!AY20</f>
        <v>2.1647777777777776E-3</v>
      </c>
      <c r="F41" s="86">
        <f t="shared" si="1"/>
        <v>0.90199074074074059</v>
      </c>
    </row>
    <row r="42" spans="2:6" ht="21" customHeight="1" x14ac:dyDescent="0.25">
      <c r="B42" s="280">
        <v>0.2</v>
      </c>
      <c r="C42" s="81" t="s">
        <v>220</v>
      </c>
      <c r="D42" s="88">
        <f>D43</f>
        <v>3.6300000000000004E-3</v>
      </c>
      <c r="E42" s="88">
        <f>E43</f>
        <v>3.4549545454545453E-3</v>
      </c>
      <c r="F42" s="88">
        <f t="shared" si="1"/>
        <v>0.95177811169546689</v>
      </c>
    </row>
    <row r="43" spans="2:6" ht="29.45" customHeight="1" x14ac:dyDescent="0.3">
      <c r="B43" s="281"/>
      <c r="C43" s="90" t="s">
        <v>43</v>
      </c>
      <c r="D43" s="85">
        <f>'INDICADORES LINEA'!AV43+'INDICADORES LINEA'!AV44+'INDICADORES LINEA'!AV45+'INDICADORES LINEA'!AV46+'INDICADORES LINEA'!AV47+'INDICADORES LINEA'!AV48+'INDICADORES LINEA'!AV49+'INDICADORES LINEA'!AV50+'INDICADORES LINEA'!AV52+'INDICADORES LINEA'!AV53+'INDICADORES LINEA'!AV54+'INDICADORES LINEA'!AV55</f>
        <v>3.6300000000000004E-3</v>
      </c>
      <c r="E43" s="85">
        <f>'INDICADORES LINEA'!AY43+'INDICADORES LINEA'!AY44+'INDICADORES LINEA'!AY45+'INDICADORES LINEA'!AY46+'INDICADORES LINEA'!AY47+'INDICADORES LINEA'!AY48+'INDICADORES LINEA'!AY49+'INDICADORES LINEA'!AY50+'INDICADORES LINEA'!AY52+'INDICADORES LINEA'!AY53+'INDICADORES LINEA'!AY54+'INDICADORES LINEA'!AY55</f>
        <v>3.4549545454545453E-3</v>
      </c>
      <c r="F43" s="86">
        <f t="shared" si="1"/>
        <v>0.95177811169546689</v>
      </c>
    </row>
    <row r="44" spans="2:6" ht="15.75" x14ac:dyDescent="0.25">
      <c r="B44" s="92"/>
      <c r="C44" s="93" t="s">
        <v>221</v>
      </c>
      <c r="D44" s="94">
        <f>D32+D37+D42+D40</f>
        <v>1.8749999999999999E-2</v>
      </c>
      <c r="E44" s="94">
        <f>E32+E37+E42+E40</f>
        <v>1.685482047217611E-2</v>
      </c>
      <c r="F44" s="177">
        <f t="shared" si="1"/>
        <v>0.89892375851605921</v>
      </c>
    </row>
    <row r="48" spans="2:6" ht="27" customHeight="1" x14ac:dyDescent="0.25">
      <c r="C48" s="81" t="s">
        <v>38</v>
      </c>
      <c r="D48" s="81" t="s">
        <v>215</v>
      </c>
      <c r="E48" s="81" t="s">
        <v>214</v>
      </c>
      <c r="F48" s="81" t="s">
        <v>216</v>
      </c>
    </row>
    <row r="49" spans="3:6" ht="34.9" customHeight="1" x14ac:dyDescent="0.3">
      <c r="C49" s="90" t="str">
        <f>C34</f>
        <v>IMPACTO SOCIAL</v>
      </c>
      <c r="D49" s="95">
        <f>D34</f>
        <v>1.2E-4</v>
      </c>
      <c r="E49" s="95">
        <f>E34</f>
        <v>1.0133333333333333E-4</v>
      </c>
      <c r="F49" s="86">
        <f t="shared" ref="F49:F54" si="2">E49/D49</f>
        <v>0.84444444444444444</v>
      </c>
    </row>
    <row r="50" spans="3:6" ht="27.6" customHeight="1" x14ac:dyDescent="0.3">
      <c r="C50" s="90" t="str">
        <f>C35</f>
        <v>APRENDIZAJE E INNOVACIÓN</v>
      </c>
      <c r="D50" s="95">
        <f>D43+D35</f>
        <v>4.6700000000000005E-3</v>
      </c>
      <c r="E50" s="95">
        <f>E43+E35</f>
        <v>4.494954545454545E-3</v>
      </c>
      <c r="F50" s="86">
        <f t="shared" si="2"/>
        <v>0.96251703328791105</v>
      </c>
    </row>
    <row r="51" spans="3:6" ht="28.15" customHeight="1" x14ac:dyDescent="0.3">
      <c r="C51" s="90" t="str">
        <f t="shared" ref="C51:C52" si="3">C38</f>
        <v>USUARIOS - CLIENTES</v>
      </c>
      <c r="D51" s="95">
        <f>D38+D33</f>
        <v>6.1000000000000004E-3</v>
      </c>
      <c r="E51" s="95">
        <f>E38+E33</f>
        <v>5.1386530612244899E-3</v>
      </c>
      <c r="F51" s="86">
        <f t="shared" si="2"/>
        <v>0.84240214118434253</v>
      </c>
    </row>
    <row r="52" spans="3:6" ht="29.45" customHeight="1" x14ac:dyDescent="0.3">
      <c r="C52" s="90" t="str">
        <f t="shared" si="3"/>
        <v>PROCESOS INTERNOS</v>
      </c>
      <c r="D52" s="95">
        <f>D39+D36</f>
        <v>5.4599999999999996E-3</v>
      </c>
      <c r="E52" s="95">
        <f>E39+E36</f>
        <v>4.9551017543859642E-3</v>
      </c>
      <c r="F52" s="86">
        <f t="shared" si="2"/>
        <v>0.90752779384358329</v>
      </c>
    </row>
    <row r="53" spans="3:6" ht="24" customHeight="1" x14ac:dyDescent="0.3">
      <c r="C53" s="90" t="str">
        <f>C41</f>
        <v>FINANCIERA</v>
      </c>
      <c r="D53" s="95">
        <f>D41</f>
        <v>2.4000000000000002E-3</v>
      </c>
      <c r="E53" s="95">
        <f>E41</f>
        <v>2.1647777777777776E-3</v>
      </c>
      <c r="F53" s="86">
        <f t="shared" si="2"/>
        <v>0.90199074074074059</v>
      </c>
    </row>
    <row r="54" spans="3:6" ht="15.75" x14ac:dyDescent="0.25">
      <c r="C54" s="93" t="s">
        <v>221</v>
      </c>
      <c r="D54" s="94">
        <f>SUM(D49:D53)</f>
        <v>1.8749999999999999E-2</v>
      </c>
      <c r="E54" s="94">
        <f>SUM(E49:E53)</f>
        <v>1.685482047217611E-2</v>
      </c>
      <c r="F54" s="177">
        <f t="shared" si="2"/>
        <v>0.89892375851605921</v>
      </c>
    </row>
  </sheetData>
  <sheetProtection password="DE98" sheet="1" objects="1" scenarios="1"/>
  <mergeCells count="4">
    <mergeCell ref="B42:B43"/>
    <mergeCell ref="B37:B39"/>
    <mergeCell ref="B40:B41"/>
    <mergeCell ref="B32:B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2017-11-08T13:37:27Z</dcterms:modified>
</cp:coreProperties>
</file>