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\Vanessa\METROSALUD OK\2023\PROCESOS CONTRACTUALES\MEDICAMENTOS 2023\"/>
    </mc:Choice>
  </mc:AlternateContent>
  <xr:revisionPtr revIDLastSave="0" documentId="8_{046E3B02-6BC6-4C36-A9EA-43088D43B47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ab" sheetId="1" r:id="rId1"/>
  </sheets>
  <definedNames>
    <definedName name="_xlnm._FilterDatabase" localSheetId="0" hidden="1">Lab!$A$6:$AO$6</definedName>
  </definedNames>
  <calcPr calcId="191029"/>
</workbook>
</file>

<file path=xl/calcChain.xml><?xml version="1.0" encoding="utf-8"?>
<calcChain xmlns="http://schemas.openxmlformats.org/spreadsheetml/2006/main">
  <c r="AO182" i="1" l="1"/>
  <c r="AO183" i="1"/>
  <c r="AO184" i="1"/>
  <c r="AO185" i="1"/>
  <c r="AO186" i="1"/>
  <c r="AO187" i="1"/>
  <c r="AO188" i="1"/>
  <c r="AO189" i="1"/>
  <c r="AO190" i="1"/>
  <c r="AO191" i="1"/>
  <c r="AO192" i="1"/>
  <c r="AK192" i="1"/>
  <c r="AK191" i="1"/>
  <c r="AK190" i="1"/>
  <c r="AK189" i="1"/>
  <c r="AK188" i="1"/>
  <c r="AK187" i="1"/>
  <c r="AK186" i="1"/>
  <c r="AK185" i="1"/>
  <c r="AK184" i="1"/>
  <c r="AK183" i="1"/>
  <c r="AK182" i="1"/>
  <c r="AK653" i="1" l="1"/>
  <c r="AK652" i="1"/>
  <c r="AK651" i="1"/>
  <c r="AK650" i="1"/>
  <c r="AK649" i="1"/>
  <c r="AK648" i="1"/>
  <c r="AK647" i="1"/>
  <c r="AK646" i="1"/>
  <c r="AK645" i="1"/>
  <c r="AK644" i="1"/>
  <c r="AK643" i="1"/>
  <c r="AK642" i="1"/>
  <c r="AK641" i="1"/>
  <c r="AK640" i="1"/>
  <c r="AK639" i="1"/>
  <c r="AK638" i="1"/>
  <c r="AK637" i="1"/>
  <c r="AK636" i="1"/>
  <c r="AK635" i="1"/>
  <c r="AK634" i="1"/>
  <c r="AK633" i="1"/>
  <c r="AK632" i="1"/>
  <c r="AK631" i="1"/>
  <c r="AK630" i="1"/>
  <c r="AK629" i="1"/>
  <c r="AK628" i="1"/>
  <c r="AK627" i="1"/>
  <c r="AK626" i="1"/>
  <c r="AK625" i="1"/>
  <c r="AK624" i="1"/>
  <c r="AK623" i="1"/>
  <c r="AK622" i="1"/>
  <c r="AK621" i="1"/>
  <c r="AK620" i="1"/>
  <c r="AK619" i="1"/>
  <c r="AK617" i="1"/>
  <c r="AK616" i="1"/>
  <c r="AK615" i="1"/>
  <c r="AK614" i="1"/>
  <c r="AK613" i="1"/>
  <c r="AK612" i="1"/>
  <c r="AK611" i="1"/>
  <c r="AK610" i="1"/>
  <c r="AK609" i="1"/>
  <c r="AK608" i="1"/>
  <c r="AK607" i="1"/>
  <c r="AK606" i="1"/>
  <c r="AK605" i="1"/>
  <c r="AK604" i="1"/>
  <c r="AK603" i="1"/>
  <c r="AK602" i="1"/>
  <c r="AK601" i="1"/>
  <c r="AK600" i="1"/>
  <c r="AK599" i="1"/>
  <c r="AK598" i="1"/>
  <c r="AK597" i="1"/>
  <c r="AK596" i="1"/>
  <c r="AK595" i="1"/>
  <c r="AK594" i="1"/>
  <c r="AK593" i="1"/>
  <c r="AK592" i="1"/>
  <c r="AK591" i="1"/>
  <c r="AK590" i="1"/>
  <c r="AK589" i="1"/>
  <c r="AK588" i="1"/>
  <c r="AK587" i="1"/>
  <c r="AK586" i="1"/>
  <c r="AK585" i="1"/>
  <c r="AK584" i="1"/>
  <c r="AK583" i="1"/>
  <c r="AK582" i="1"/>
  <c r="AK581" i="1"/>
  <c r="AK580" i="1"/>
  <c r="AK579" i="1"/>
  <c r="AK578" i="1"/>
  <c r="AK577" i="1"/>
  <c r="AK576" i="1"/>
  <c r="AK575" i="1"/>
  <c r="AK574" i="1"/>
  <c r="AK573" i="1"/>
  <c r="AK572" i="1"/>
  <c r="AK571" i="1"/>
  <c r="AK570" i="1"/>
  <c r="AK569" i="1"/>
  <c r="AK567" i="1"/>
  <c r="AK566" i="1"/>
  <c r="AK565" i="1"/>
  <c r="AK564" i="1"/>
  <c r="AK563" i="1"/>
  <c r="AK562" i="1"/>
  <c r="AK561" i="1"/>
  <c r="AK560" i="1"/>
  <c r="AK559" i="1"/>
  <c r="AK558" i="1"/>
  <c r="AK557" i="1"/>
  <c r="AK556" i="1"/>
  <c r="AK555" i="1"/>
  <c r="AK554" i="1"/>
  <c r="AK553" i="1"/>
  <c r="AK552" i="1"/>
  <c r="AK551" i="1"/>
  <c r="AK550" i="1"/>
  <c r="AK549" i="1"/>
  <c r="AK548" i="1"/>
  <c r="AK547" i="1"/>
  <c r="AK546" i="1"/>
  <c r="AK545" i="1"/>
  <c r="AK544" i="1"/>
  <c r="AK543" i="1"/>
  <c r="AK542" i="1"/>
  <c r="AK541" i="1"/>
  <c r="AK540" i="1"/>
  <c r="AK539" i="1"/>
  <c r="AK538" i="1"/>
  <c r="AK537" i="1"/>
  <c r="AK536" i="1"/>
  <c r="AK535" i="1"/>
  <c r="AK534" i="1"/>
  <c r="AK533" i="1"/>
  <c r="AK532" i="1"/>
  <c r="AK531" i="1"/>
  <c r="AK530" i="1"/>
  <c r="AK529" i="1"/>
  <c r="AK528" i="1"/>
  <c r="AK527" i="1"/>
  <c r="AK526" i="1"/>
  <c r="AK525" i="1"/>
  <c r="AK524" i="1"/>
  <c r="AK523" i="1"/>
  <c r="AK522" i="1"/>
  <c r="AK521" i="1"/>
  <c r="AK520" i="1"/>
  <c r="AK519" i="1"/>
  <c r="AK518" i="1"/>
  <c r="AK517" i="1"/>
  <c r="AK516" i="1"/>
  <c r="AK515" i="1"/>
  <c r="AK514" i="1"/>
  <c r="AK513" i="1"/>
  <c r="AK512" i="1"/>
  <c r="AK511" i="1"/>
  <c r="AK510" i="1"/>
  <c r="AK509" i="1"/>
  <c r="AK508" i="1"/>
  <c r="AK507" i="1"/>
  <c r="AK506" i="1"/>
  <c r="AK505" i="1"/>
  <c r="AK504" i="1"/>
  <c r="AK503" i="1"/>
  <c r="AK502" i="1"/>
  <c r="AK501" i="1"/>
  <c r="AK500" i="1"/>
  <c r="AK499" i="1"/>
  <c r="AK498" i="1"/>
  <c r="AK497" i="1"/>
  <c r="AK496" i="1"/>
  <c r="AK495" i="1"/>
  <c r="AK494" i="1"/>
  <c r="AK493" i="1"/>
  <c r="AK492" i="1"/>
  <c r="AK491" i="1"/>
  <c r="AK490" i="1"/>
  <c r="AK489" i="1"/>
  <c r="AK488" i="1"/>
  <c r="AK487" i="1"/>
  <c r="AK486" i="1"/>
  <c r="AK485" i="1"/>
  <c r="AK484" i="1"/>
  <c r="AK483" i="1"/>
  <c r="AK482" i="1"/>
  <c r="AK481" i="1"/>
  <c r="AK480" i="1"/>
  <c r="AK479" i="1"/>
  <c r="AK478" i="1"/>
  <c r="AK477" i="1"/>
  <c r="AK476" i="1"/>
  <c r="AK475" i="1"/>
  <c r="AK474" i="1"/>
  <c r="AK473" i="1"/>
  <c r="AK472" i="1"/>
  <c r="AK471" i="1"/>
  <c r="AK470" i="1"/>
  <c r="AK469" i="1"/>
  <c r="AK468" i="1"/>
  <c r="AK467" i="1"/>
  <c r="AK466" i="1"/>
  <c r="AK464" i="1"/>
  <c r="AK463" i="1"/>
  <c r="AK462" i="1"/>
  <c r="AK456" i="1"/>
  <c r="AK461" i="1"/>
  <c r="AK460" i="1"/>
  <c r="AK459" i="1"/>
  <c r="AK458" i="1"/>
  <c r="AK457" i="1"/>
  <c r="AK455" i="1"/>
  <c r="AK454" i="1"/>
  <c r="AK453" i="1"/>
  <c r="AK452" i="1"/>
  <c r="AK451" i="1"/>
  <c r="AK450" i="1"/>
  <c r="AK449" i="1"/>
  <c r="AK448" i="1"/>
  <c r="AK447" i="1"/>
  <c r="AK446" i="1"/>
  <c r="AK445" i="1"/>
  <c r="AK444" i="1"/>
  <c r="AK443" i="1"/>
  <c r="AK442" i="1"/>
  <c r="AK441" i="1"/>
  <c r="AK440" i="1"/>
  <c r="AK439" i="1"/>
  <c r="AK438" i="1"/>
  <c r="AK437" i="1"/>
  <c r="AK436" i="1"/>
  <c r="AK435" i="1"/>
  <c r="AK434" i="1"/>
  <c r="AK433" i="1"/>
  <c r="AK432" i="1"/>
  <c r="AK431" i="1"/>
  <c r="AK430" i="1"/>
  <c r="AK429" i="1"/>
  <c r="AK428" i="1"/>
  <c r="AK427" i="1"/>
  <c r="AK426" i="1"/>
  <c r="AK425" i="1"/>
  <c r="AK424" i="1"/>
  <c r="AK423" i="1"/>
  <c r="AK422" i="1"/>
  <c r="AK420" i="1"/>
  <c r="AK419" i="1"/>
  <c r="AK418" i="1"/>
  <c r="AK417" i="1"/>
  <c r="AK416" i="1"/>
  <c r="AK415" i="1"/>
  <c r="AK413" i="1"/>
  <c r="AK412" i="1"/>
  <c r="AK411" i="1"/>
  <c r="AK410" i="1"/>
  <c r="AK409" i="1"/>
  <c r="AK408" i="1"/>
  <c r="AK407" i="1"/>
  <c r="AK406" i="1"/>
  <c r="AK405" i="1"/>
  <c r="AK404" i="1"/>
  <c r="AK403" i="1"/>
  <c r="AK402" i="1"/>
  <c r="AK401" i="1"/>
  <c r="AK400" i="1"/>
  <c r="AK399" i="1"/>
  <c r="AK398" i="1"/>
  <c r="AK397" i="1"/>
  <c r="AK396" i="1"/>
  <c r="AK395" i="1"/>
  <c r="AK394" i="1"/>
  <c r="AK393" i="1"/>
  <c r="AK392" i="1"/>
  <c r="AK391" i="1"/>
  <c r="AK390" i="1"/>
  <c r="AK389" i="1"/>
  <c r="AK388" i="1"/>
  <c r="AK387" i="1"/>
  <c r="AK385" i="1"/>
  <c r="AK384" i="1"/>
  <c r="AK383" i="1"/>
  <c r="AK381" i="1"/>
  <c r="AK380" i="1"/>
  <c r="AK379" i="1"/>
  <c r="AK378" i="1"/>
  <c r="AK377" i="1"/>
  <c r="AK376" i="1"/>
  <c r="AK375" i="1"/>
  <c r="AK374" i="1"/>
  <c r="AK373" i="1"/>
  <c r="AK372" i="1"/>
  <c r="AK371" i="1"/>
  <c r="AK369" i="1"/>
  <c r="AK367" i="1"/>
  <c r="AK366" i="1"/>
  <c r="AK365" i="1"/>
  <c r="AK364" i="1"/>
  <c r="AK363" i="1"/>
  <c r="AK362" i="1"/>
  <c r="AK361" i="1"/>
  <c r="AK360" i="1"/>
  <c r="AK359" i="1"/>
  <c r="AK358" i="1"/>
  <c r="AK357" i="1"/>
  <c r="AK356" i="1"/>
  <c r="AK355" i="1"/>
  <c r="AK354" i="1"/>
  <c r="AK353" i="1"/>
  <c r="AK352" i="1"/>
  <c r="AK351" i="1"/>
  <c r="AK350" i="1"/>
  <c r="AK349" i="1"/>
  <c r="AK348" i="1"/>
  <c r="AK347" i="1"/>
  <c r="AK346" i="1"/>
  <c r="AK345" i="1"/>
  <c r="AK344" i="1"/>
  <c r="AK342" i="1"/>
  <c r="AK341" i="1"/>
  <c r="AK340" i="1"/>
  <c r="AK339" i="1"/>
  <c r="AK338" i="1"/>
  <c r="AK337" i="1"/>
  <c r="AK336" i="1"/>
  <c r="AK335" i="1"/>
  <c r="AK334" i="1"/>
  <c r="AK333" i="1"/>
  <c r="AK332" i="1"/>
  <c r="AK331" i="1"/>
  <c r="AK330" i="1"/>
  <c r="AK329" i="1"/>
  <c r="AK328" i="1"/>
  <c r="AK327" i="1"/>
  <c r="AK326" i="1"/>
  <c r="AK325" i="1"/>
  <c r="AK323" i="1"/>
  <c r="AK322" i="1"/>
  <c r="AK321" i="1"/>
  <c r="AK320" i="1"/>
  <c r="AK318" i="1"/>
  <c r="AK317" i="1"/>
  <c r="AK316" i="1"/>
  <c r="AK315" i="1"/>
  <c r="AK313" i="1"/>
  <c r="AK312" i="1"/>
  <c r="AK311" i="1"/>
  <c r="AK310" i="1"/>
  <c r="AK309" i="1"/>
  <c r="AK308" i="1"/>
  <c r="AK307" i="1"/>
  <c r="AK306" i="1"/>
  <c r="AK305" i="1"/>
  <c r="AK304" i="1"/>
  <c r="AK303" i="1"/>
  <c r="AK302" i="1"/>
  <c r="AK301" i="1"/>
  <c r="AK299" i="1"/>
  <c r="AK298" i="1"/>
  <c r="AK297" i="1"/>
  <c r="AK296" i="1"/>
  <c r="AK295" i="1"/>
  <c r="AK294" i="1"/>
  <c r="AK293" i="1"/>
  <c r="AK292" i="1"/>
  <c r="AK291" i="1"/>
  <c r="AK290" i="1"/>
  <c r="AK289" i="1"/>
  <c r="AK288" i="1"/>
  <c r="AK287" i="1"/>
  <c r="AK286" i="1"/>
  <c r="AK285" i="1"/>
  <c r="AK284" i="1"/>
  <c r="AK283" i="1"/>
  <c r="AK282" i="1"/>
  <c r="AK281" i="1"/>
  <c r="AK280" i="1"/>
  <c r="AK279" i="1"/>
  <c r="AK278" i="1"/>
  <c r="AK277" i="1"/>
  <c r="AK276" i="1"/>
  <c r="AK275" i="1"/>
  <c r="AK274" i="1"/>
  <c r="AK273" i="1"/>
  <c r="AK272" i="1"/>
  <c r="AK271" i="1"/>
  <c r="AK270" i="1"/>
  <c r="AK269" i="1"/>
  <c r="AK268" i="1"/>
  <c r="AK267" i="1"/>
  <c r="AK266" i="1"/>
  <c r="AK265" i="1"/>
  <c r="AK264" i="1"/>
  <c r="AK263" i="1"/>
  <c r="AK262" i="1"/>
  <c r="AK261" i="1"/>
  <c r="AK260" i="1"/>
  <c r="AK259" i="1"/>
  <c r="AK258" i="1"/>
  <c r="AK257" i="1"/>
  <c r="AK256" i="1"/>
  <c r="AK255" i="1"/>
  <c r="AK254" i="1"/>
  <c r="AK253" i="1"/>
  <c r="AK252" i="1"/>
  <c r="AK251" i="1"/>
  <c r="AK250" i="1"/>
  <c r="AK249" i="1"/>
  <c r="AK248" i="1"/>
  <c r="AK247" i="1"/>
  <c r="AK246" i="1"/>
  <c r="AK245" i="1"/>
  <c r="AK244" i="1"/>
  <c r="AK243" i="1"/>
  <c r="AK242" i="1"/>
  <c r="AK241" i="1"/>
  <c r="AK240" i="1"/>
  <c r="AK239" i="1"/>
  <c r="AK238" i="1"/>
  <c r="AK237" i="1"/>
  <c r="AK236" i="1"/>
  <c r="AK235" i="1"/>
  <c r="AK234" i="1"/>
  <c r="AK233" i="1"/>
  <c r="AK232" i="1"/>
  <c r="AK231" i="1"/>
  <c r="AK230" i="1"/>
  <c r="AK229" i="1"/>
  <c r="AK228" i="1"/>
  <c r="AK227" i="1"/>
  <c r="AK226" i="1"/>
  <c r="AK225" i="1"/>
  <c r="AK224" i="1"/>
  <c r="AK223" i="1"/>
  <c r="AK222" i="1"/>
  <c r="AK221" i="1"/>
  <c r="AK220" i="1"/>
  <c r="AK219" i="1"/>
  <c r="AK218" i="1"/>
  <c r="AK217" i="1"/>
  <c r="AK216" i="1"/>
  <c r="AK215" i="1"/>
  <c r="AK214" i="1"/>
  <c r="AK213" i="1"/>
  <c r="AK212" i="1"/>
  <c r="AK211" i="1"/>
  <c r="AK210" i="1"/>
  <c r="AK209" i="1"/>
  <c r="AK208" i="1"/>
  <c r="AK207" i="1"/>
  <c r="AK206" i="1"/>
  <c r="AK205" i="1"/>
  <c r="AK204" i="1"/>
  <c r="AK203" i="1"/>
  <c r="AK202" i="1"/>
  <c r="AK201" i="1"/>
  <c r="AK200" i="1"/>
  <c r="AK199" i="1"/>
  <c r="AK198" i="1"/>
  <c r="AK197" i="1"/>
  <c r="AK196" i="1"/>
  <c r="AK195" i="1"/>
  <c r="AK194" i="1"/>
  <c r="AK193" i="1"/>
  <c r="AK181" i="1"/>
  <c r="AK180" i="1"/>
  <c r="AK179" i="1"/>
  <c r="AK178" i="1"/>
  <c r="AK177" i="1"/>
  <c r="AK176" i="1"/>
  <c r="AK175" i="1"/>
  <c r="AK174" i="1"/>
  <c r="AK173" i="1"/>
  <c r="AK172" i="1"/>
  <c r="AK171" i="1"/>
  <c r="AK170" i="1"/>
  <c r="AK169" i="1"/>
  <c r="AK168" i="1"/>
  <c r="AK167" i="1"/>
  <c r="AK166" i="1"/>
  <c r="AK165" i="1"/>
  <c r="AK164" i="1"/>
  <c r="AK163" i="1"/>
  <c r="AK162" i="1"/>
  <c r="AK161" i="1"/>
  <c r="AK160" i="1"/>
  <c r="AK159" i="1"/>
  <c r="AK158" i="1"/>
  <c r="AK157" i="1"/>
  <c r="AK156" i="1"/>
  <c r="AK155" i="1"/>
  <c r="AK154" i="1"/>
  <c r="AK153" i="1"/>
  <c r="AK152" i="1"/>
  <c r="AK151" i="1"/>
  <c r="AK150" i="1"/>
  <c r="AK149" i="1"/>
  <c r="AK148" i="1"/>
  <c r="AK147" i="1"/>
  <c r="AK146" i="1"/>
  <c r="AK145" i="1"/>
  <c r="AK144" i="1"/>
  <c r="AK143" i="1"/>
  <c r="AK142" i="1"/>
  <c r="AK141" i="1"/>
  <c r="AK140" i="1"/>
  <c r="AK139" i="1"/>
  <c r="AK138" i="1"/>
  <c r="AK137" i="1"/>
  <c r="AK136" i="1"/>
  <c r="AK135" i="1"/>
  <c r="AK134" i="1"/>
  <c r="AK133" i="1"/>
  <c r="AK132" i="1"/>
  <c r="AK131" i="1"/>
  <c r="AK130" i="1"/>
  <c r="AK129" i="1"/>
  <c r="AK128" i="1"/>
  <c r="AK127" i="1"/>
  <c r="AK126" i="1"/>
  <c r="AK125" i="1"/>
  <c r="AK124" i="1"/>
  <c r="AK123" i="1"/>
  <c r="AK122" i="1"/>
  <c r="AK121" i="1"/>
  <c r="AK120" i="1"/>
  <c r="AK119" i="1"/>
  <c r="AK118" i="1"/>
  <c r="AK117" i="1"/>
  <c r="AK116" i="1"/>
  <c r="AK115" i="1"/>
  <c r="AK114" i="1"/>
  <c r="AK113" i="1"/>
  <c r="AK112" i="1"/>
  <c r="AK111" i="1"/>
  <c r="AK110" i="1"/>
  <c r="AK109" i="1"/>
  <c r="AK108" i="1"/>
  <c r="AK107" i="1"/>
  <c r="AK106" i="1"/>
  <c r="AK105" i="1"/>
  <c r="AK104" i="1"/>
  <c r="AK103" i="1"/>
  <c r="AK102" i="1"/>
  <c r="AK101" i="1"/>
  <c r="AK100" i="1"/>
  <c r="AK99" i="1"/>
  <c r="AK98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 l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368" i="1"/>
  <c r="AK414" i="1"/>
  <c r="AK7" i="1"/>
  <c r="AO7" i="1" l="1"/>
  <c r="AO409" i="1"/>
  <c r="AO410" i="1"/>
  <c r="AO411" i="1"/>
  <c r="AO412" i="1"/>
  <c r="AO413" i="1"/>
  <c r="AO414" i="1"/>
  <c r="AO415" i="1"/>
  <c r="AO416" i="1"/>
  <c r="AO417" i="1"/>
  <c r="AO418" i="1"/>
  <c r="AO419" i="1"/>
  <c r="AO420" i="1"/>
  <c r="AO421" i="1"/>
  <c r="AO422" i="1"/>
  <c r="AO423" i="1"/>
  <c r="AO424" i="1"/>
  <c r="AO425" i="1"/>
  <c r="AO426" i="1"/>
  <c r="AO427" i="1"/>
  <c r="AO428" i="1"/>
  <c r="AO429" i="1"/>
  <c r="AO430" i="1"/>
  <c r="AO431" i="1"/>
  <c r="AO432" i="1"/>
  <c r="AO433" i="1"/>
  <c r="AO434" i="1"/>
  <c r="AO435" i="1"/>
  <c r="AO436" i="1"/>
  <c r="AO437" i="1"/>
  <c r="AO438" i="1"/>
  <c r="AO439" i="1"/>
  <c r="AO440" i="1"/>
  <c r="AO441" i="1"/>
  <c r="AO442" i="1"/>
  <c r="AO443" i="1"/>
  <c r="AO444" i="1"/>
  <c r="AO445" i="1"/>
  <c r="AO446" i="1"/>
  <c r="AO447" i="1"/>
  <c r="AO448" i="1"/>
  <c r="AO449" i="1"/>
  <c r="AO450" i="1"/>
  <c r="AO451" i="1"/>
  <c r="AO452" i="1"/>
  <c r="AO453" i="1"/>
  <c r="AO454" i="1"/>
  <c r="AO455" i="1"/>
  <c r="AO456" i="1"/>
  <c r="AO457" i="1"/>
  <c r="AO458" i="1"/>
  <c r="AO459" i="1"/>
  <c r="AO460" i="1"/>
  <c r="AO461" i="1"/>
  <c r="AO462" i="1"/>
  <c r="AO463" i="1"/>
  <c r="AO464" i="1"/>
  <c r="AO465" i="1"/>
  <c r="AO466" i="1"/>
  <c r="AO467" i="1"/>
  <c r="AO468" i="1"/>
  <c r="AO469" i="1"/>
  <c r="AO470" i="1"/>
  <c r="AO471" i="1"/>
  <c r="AO472" i="1"/>
  <c r="AO473" i="1"/>
  <c r="AO474" i="1"/>
  <c r="AO475" i="1"/>
  <c r="AO476" i="1"/>
  <c r="AO477" i="1"/>
  <c r="AO478" i="1"/>
  <c r="AO479" i="1"/>
  <c r="AO480" i="1"/>
  <c r="AO481" i="1"/>
  <c r="AO482" i="1"/>
  <c r="AO483" i="1"/>
  <c r="AO484" i="1"/>
  <c r="AO485" i="1"/>
  <c r="AO486" i="1"/>
  <c r="AO487" i="1"/>
  <c r="AO488" i="1"/>
  <c r="AO489" i="1"/>
  <c r="AO490" i="1"/>
  <c r="AO491" i="1"/>
  <c r="AO492" i="1"/>
  <c r="AO493" i="1"/>
  <c r="AO494" i="1"/>
  <c r="AO495" i="1"/>
  <c r="AO496" i="1"/>
  <c r="AO497" i="1"/>
  <c r="AO498" i="1"/>
  <c r="AO499" i="1"/>
  <c r="AO500" i="1"/>
  <c r="AO501" i="1"/>
  <c r="AO502" i="1"/>
  <c r="AO503" i="1"/>
  <c r="AO504" i="1"/>
  <c r="AO505" i="1"/>
  <c r="AO506" i="1"/>
  <c r="AO507" i="1"/>
  <c r="AO508" i="1"/>
  <c r="AO509" i="1"/>
  <c r="AO510" i="1"/>
  <c r="AO511" i="1"/>
  <c r="AO512" i="1"/>
  <c r="AO513" i="1"/>
  <c r="AO514" i="1"/>
  <c r="AO515" i="1"/>
  <c r="AO516" i="1"/>
  <c r="AO517" i="1"/>
  <c r="AO518" i="1"/>
  <c r="AO519" i="1"/>
  <c r="AO520" i="1"/>
  <c r="AO521" i="1"/>
  <c r="AO522" i="1"/>
  <c r="AO523" i="1"/>
  <c r="AO524" i="1"/>
  <c r="AO525" i="1"/>
  <c r="AO526" i="1"/>
  <c r="AO527" i="1"/>
  <c r="AO528" i="1"/>
  <c r="AO529" i="1"/>
  <c r="AO530" i="1"/>
  <c r="AO531" i="1"/>
  <c r="AO532" i="1"/>
  <c r="AO533" i="1"/>
  <c r="AO534" i="1"/>
  <c r="AO535" i="1"/>
  <c r="AO536" i="1"/>
  <c r="AO537" i="1"/>
  <c r="AO538" i="1"/>
  <c r="AO539" i="1"/>
  <c r="AO540" i="1"/>
  <c r="AO541" i="1"/>
  <c r="AO542" i="1"/>
  <c r="AO543" i="1"/>
  <c r="AO544" i="1"/>
  <c r="AO545" i="1"/>
  <c r="AO546" i="1"/>
  <c r="AO547" i="1"/>
  <c r="AO548" i="1"/>
  <c r="AO549" i="1"/>
  <c r="AO550" i="1"/>
  <c r="AO551" i="1"/>
  <c r="AO552" i="1"/>
  <c r="AO553" i="1"/>
  <c r="AO554" i="1"/>
  <c r="AO555" i="1"/>
  <c r="AO556" i="1"/>
  <c r="AO557" i="1"/>
  <c r="AO558" i="1"/>
  <c r="AO559" i="1"/>
  <c r="AO560" i="1"/>
  <c r="AO561" i="1"/>
  <c r="AO562" i="1"/>
  <c r="AO563" i="1"/>
  <c r="AO564" i="1"/>
  <c r="AO565" i="1"/>
  <c r="AO566" i="1"/>
  <c r="AO567" i="1"/>
  <c r="AO568" i="1"/>
  <c r="AO569" i="1"/>
  <c r="AO570" i="1"/>
  <c r="AO571" i="1"/>
  <c r="AO572" i="1"/>
  <c r="AO573" i="1"/>
  <c r="AO574" i="1"/>
  <c r="AO575" i="1"/>
  <c r="AO576" i="1"/>
  <c r="AO577" i="1"/>
  <c r="AO578" i="1"/>
  <c r="AO579" i="1"/>
  <c r="AO580" i="1"/>
  <c r="AO581" i="1"/>
  <c r="AO582" i="1"/>
  <c r="AO583" i="1"/>
  <c r="AO584" i="1"/>
  <c r="AO585" i="1"/>
  <c r="AO586" i="1"/>
  <c r="AO587" i="1"/>
  <c r="AO588" i="1"/>
  <c r="AO589" i="1"/>
  <c r="AO590" i="1"/>
  <c r="AO591" i="1"/>
  <c r="AO592" i="1"/>
  <c r="AO593" i="1"/>
  <c r="AO594" i="1"/>
  <c r="AO595" i="1"/>
  <c r="AO596" i="1"/>
  <c r="AO597" i="1"/>
  <c r="AO598" i="1"/>
  <c r="AO599" i="1"/>
  <c r="AO600" i="1"/>
  <c r="AO601" i="1"/>
  <c r="AO602" i="1"/>
  <c r="AO603" i="1"/>
  <c r="AO604" i="1"/>
  <c r="AO605" i="1"/>
  <c r="AO606" i="1"/>
  <c r="AO607" i="1"/>
  <c r="AO608" i="1"/>
  <c r="AO609" i="1"/>
  <c r="AO610" i="1"/>
  <c r="AO611" i="1"/>
  <c r="AO612" i="1"/>
  <c r="AO613" i="1"/>
  <c r="AO614" i="1"/>
  <c r="AO615" i="1"/>
  <c r="AO616" i="1"/>
  <c r="AO617" i="1"/>
  <c r="AO618" i="1"/>
  <c r="AO619" i="1"/>
  <c r="AO620" i="1"/>
  <c r="AO621" i="1"/>
  <c r="AO622" i="1"/>
  <c r="AO623" i="1"/>
  <c r="AO624" i="1"/>
  <c r="AO625" i="1"/>
  <c r="AO626" i="1"/>
  <c r="AO627" i="1"/>
  <c r="AO628" i="1"/>
  <c r="AO629" i="1"/>
  <c r="AO630" i="1"/>
  <c r="AO631" i="1"/>
  <c r="AO632" i="1"/>
  <c r="AO633" i="1"/>
  <c r="AO634" i="1"/>
  <c r="AO635" i="1"/>
  <c r="AO636" i="1"/>
  <c r="AO637" i="1"/>
  <c r="AO638" i="1"/>
  <c r="AO639" i="1"/>
  <c r="AO640" i="1"/>
  <c r="AO641" i="1"/>
  <c r="AO642" i="1"/>
  <c r="AO643" i="1"/>
  <c r="AO644" i="1"/>
  <c r="AO645" i="1"/>
  <c r="AO646" i="1"/>
  <c r="AO647" i="1"/>
  <c r="AO648" i="1"/>
  <c r="AO649" i="1"/>
  <c r="AO650" i="1"/>
  <c r="AO651" i="1"/>
  <c r="AO652" i="1"/>
  <c r="AO653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O170" i="1"/>
  <c r="AO171" i="1"/>
  <c r="AO172" i="1"/>
  <c r="AO173" i="1"/>
  <c r="AO174" i="1"/>
  <c r="AO175" i="1"/>
  <c r="AO176" i="1"/>
  <c r="AO177" i="1"/>
  <c r="AO178" i="1"/>
  <c r="AO179" i="1"/>
  <c r="AO180" i="1"/>
  <c r="AO181" i="1"/>
  <c r="AO193" i="1"/>
  <c r="AO194" i="1"/>
  <c r="AO195" i="1"/>
  <c r="AO196" i="1"/>
  <c r="AO197" i="1"/>
  <c r="AO198" i="1"/>
  <c r="AO199" i="1"/>
  <c r="AO200" i="1"/>
  <c r="AO201" i="1"/>
  <c r="AO202" i="1"/>
  <c r="AO203" i="1"/>
  <c r="AO204" i="1"/>
  <c r="AO205" i="1"/>
  <c r="AO206" i="1"/>
  <c r="AO207" i="1"/>
  <c r="AO208" i="1"/>
  <c r="AO209" i="1"/>
  <c r="AO210" i="1"/>
  <c r="AO211" i="1"/>
  <c r="AO212" i="1"/>
  <c r="AO213" i="1"/>
  <c r="AO214" i="1"/>
  <c r="AO215" i="1"/>
  <c r="AO216" i="1"/>
  <c r="AO217" i="1"/>
  <c r="AO218" i="1"/>
  <c r="AO219" i="1"/>
  <c r="AO220" i="1"/>
  <c r="AO221" i="1"/>
  <c r="AO222" i="1"/>
  <c r="AO223" i="1"/>
  <c r="AO224" i="1"/>
  <c r="AO225" i="1"/>
  <c r="AO226" i="1"/>
  <c r="AO227" i="1"/>
  <c r="AO228" i="1"/>
  <c r="AO229" i="1"/>
  <c r="AO230" i="1"/>
  <c r="AO231" i="1"/>
  <c r="AO232" i="1"/>
  <c r="AO233" i="1"/>
  <c r="AO234" i="1"/>
  <c r="AO235" i="1"/>
  <c r="AO236" i="1"/>
  <c r="AO237" i="1"/>
  <c r="AO238" i="1"/>
  <c r="AO239" i="1"/>
  <c r="AO240" i="1"/>
  <c r="AO241" i="1"/>
  <c r="AO242" i="1"/>
  <c r="AO243" i="1"/>
  <c r="AO244" i="1"/>
  <c r="AO245" i="1"/>
  <c r="AO246" i="1"/>
  <c r="AO247" i="1"/>
  <c r="AO248" i="1"/>
  <c r="AO249" i="1"/>
  <c r="AO250" i="1"/>
  <c r="AO251" i="1"/>
  <c r="AO252" i="1"/>
  <c r="AO253" i="1"/>
  <c r="AO254" i="1"/>
  <c r="AO255" i="1"/>
  <c r="AO256" i="1"/>
  <c r="AO257" i="1"/>
  <c r="AO258" i="1"/>
  <c r="AO259" i="1"/>
  <c r="AO260" i="1"/>
  <c r="AO261" i="1"/>
  <c r="AO262" i="1"/>
  <c r="AO263" i="1"/>
  <c r="AO264" i="1"/>
  <c r="AO265" i="1"/>
  <c r="AO266" i="1"/>
  <c r="AO267" i="1"/>
  <c r="AO268" i="1"/>
  <c r="AO269" i="1"/>
  <c r="AO270" i="1"/>
  <c r="AO271" i="1"/>
  <c r="AO272" i="1"/>
  <c r="AO273" i="1"/>
  <c r="AO274" i="1"/>
  <c r="AO275" i="1"/>
  <c r="AO276" i="1"/>
  <c r="AO277" i="1"/>
  <c r="AO278" i="1"/>
  <c r="AO279" i="1"/>
  <c r="AO280" i="1"/>
  <c r="AO281" i="1"/>
  <c r="AO282" i="1"/>
  <c r="AO283" i="1"/>
  <c r="AO284" i="1"/>
  <c r="AO285" i="1"/>
  <c r="AO286" i="1"/>
  <c r="AO287" i="1"/>
  <c r="AO288" i="1"/>
  <c r="AO289" i="1"/>
  <c r="AO290" i="1"/>
  <c r="AO291" i="1"/>
  <c r="AO292" i="1"/>
  <c r="AO293" i="1"/>
  <c r="AO294" i="1"/>
  <c r="AO295" i="1"/>
  <c r="AO296" i="1"/>
  <c r="AO297" i="1"/>
  <c r="AO298" i="1"/>
  <c r="AO299" i="1"/>
  <c r="AO300" i="1"/>
  <c r="AO301" i="1"/>
  <c r="AO302" i="1"/>
  <c r="AO303" i="1"/>
  <c r="AO304" i="1"/>
  <c r="AO305" i="1"/>
  <c r="AO306" i="1"/>
  <c r="AO307" i="1"/>
  <c r="AO308" i="1"/>
  <c r="AO309" i="1"/>
  <c r="AO310" i="1"/>
  <c r="AO311" i="1"/>
  <c r="AO312" i="1"/>
  <c r="AO313" i="1"/>
  <c r="AO314" i="1"/>
  <c r="AO315" i="1"/>
  <c r="AO316" i="1"/>
  <c r="AO317" i="1"/>
  <c r="AO318" i="1"/>
  <c r="AO319" i="1"/>
  <c r="AO320" i="1"/>
  <c r="AO321" i="1"/>
  <c r="AO322" i="1"/>
  <c r="AO323" i="1"/>
  <c r="AO324" i="1"/>
  <c r="AO325" i="1"/>
  <c r="AO326" i="1"/>
  <c r="AO327" i="1"/>
  <c r="AO328" i="1"/>
  <c r="AO329" i="1"/>
  <c r="AO330" i="1"/>
  <c r="AO331" i="1"/>
  <c r="AO332" i="1"/>
  <c r="AO333" i="1"/>
  <c r="AO334" i="1"/>
  <c r="AO335" i="1"/>
  <c r="AO336" i="1"/>
  <c r="AO337" i="1"/>
  <c r="AO338" i="1"/>
  <c r="AO339" i="1"/>
  <c r="AO340" i="1"/>
  <c r="AO341" i="1"/>
  <c r="AO342" i="1"/>
  <c r="AO343" i="1"/>
  <c r="AO344" i="1"/>
  <c r="AO345" i="1"/>
  <c r="AO346" i="1"/>
  <c r="AO347" i="1"/>
  <c r="AO348" i="1"/>
  <c r="AO349" i="1"/>
  <c r="AO350" i="1"/>
  <c r="AO351" i="1"/>
  <c r="AO352" i="1"/>
  <c r="AO353" i="1"/>
  <c r="AO354" i="1"/>
  <c r="AO355" i="1"/>
  <c r="AO356" i="1"/>
  <c r="AO357" i="1"/>
  <c r="AO358" i="1"/>
  <c r="AO359" i="1"/>
  <c r="AO360" i="1"/>
  <c r="AO361" i="1"/>
  <c r="AO362" i="1"/>
  <c r="AO363" i="1"/>
  <c r="AO364" i="1"/>
  <c r="AO365" i="1"/>
  <c r="AO366" i="1"/>
  <c r="AO367" i="1"/>
  <c r="AO368" i="1"/>
  <c r="AO369" i="1"/>
  <c r="AO370" i="1"/>
  <c r="AO371" i="1"/>
  <c r="AO372" i="1"/>
  <c r="AO373" i="1"/>
  <c r="AO374" i="1"/>
  <c r="AO375" i="1"/>
  <c r="AO376" i="1"/>
  <c r="AO377" i="1"/>
  <c r="AO378" i="1"/>
  <c r="AO379" i="1"/>
  <c r="AO380" i="1"/>
  <c r="AO381" i="1"/>
  <c r="AO382" i="1"/>
  <c r="AO383" i="1"/>
  <c r="AO384" i="1"/>
  <c r="AO385" i="1"/>
  <c r="AO386" i="1"/>
  <c r="AO387" i="1"/>
  <c r="AO388" i="1"/>
  <c r="AO389" i="1"/>
  <c r="AO390" i="1"/>
  <c r="AO391" i="1"/>
  <c r="AO392" i="1"/>
  <c r="AO393" i="1"/>
  <c r="AO394" i="1"/>
  <c r="AO395" i="1"/>
  <c r="AO396" i="1"/>
  <c r="AO397" i="1"/>
  <c r="AO398" i="1"/>
  <c r="AO399" i="1"/>
  <c r="AO400" i="1"/>
  <c r="AO401" i="1"/>
  <c r="AO402" i="1"/>
  <c r="AO403" i="1"/>
  <c r="AO404" i="1"/>
  <c r="AO405" i="1"/>
  <c r="AO406" i="1"/>
  <c r="AO407" i="1"/>
  <c r="AO408" i="1"/>
  <c r="F659" i="1" l="1"/>
</calcChain>
</file>

<file path=xl/sharedStrings.xml><?xml version="1.0" encoding="utf-8"?>
<sst xmlns="http://schemas.openxmlformats.org/spreadsheetml/2006/main" count="3810" uniqueCount="1217">
  <si>
    <t>LINEA</t>
  </si>
  <si>
    <t>PAQUETE</t>
  </si>
  <si>
    <t>CÓDIGO</t>
  </si>
  <si>
    <t>DESCRIPCION DEL INSUMO REQUERIDO</t>
  </si>
  <si>
    <t>DESCRIPCION DEL INSUMO OFERTADO</t>
  </si>
  <si>
    <t>CANTIDAD OFERTADA</t>
  </si>
  <si>
    <t>PRESENTACION OFERTADA</t>
  </si>
  <si>
    <t>EMBALAJE OFERTADO</t>
  </si>
  <si>
    <t>PAÍS</t>
  </si>
  <si>
    <t>VALOR UNITARIO EN LA UNIDAD DE METROSALUD</t>
  </si>
  <si>
    <t>IVA</t>
  </si>
  <si>
    <t>VALOR TOTAL</t>
  </si>
  <si>
    <t>REGISTRO SANITARIO Nro.</t>
  </si>
  <si>
    <t>DIRECCION ADMINISTRATIVA</t>
  </si>
  <si>
    <t>GRUPO CONTRATACION INSUMOS HOSPITALARIOS</t>
  </si>
  <si>
    <t>FORMATO PARA PRESENTAR OFERTA ECONOMICA</t>
  </si>
  <si>
    <t xml:space="preserve">VALOR OFERTA TOTAL </t>
  </si>
  <si>
    <t>NOMBRE Y DEL REPRESENTANTE LEGAL</t>
  </si>
  <si>
    <t>FECHA</t>
  </si>
  <si>
    <t>ANEXO Nº6</t>
  </si>
  <si>
    <t>DMQ</t>
  </si>
  <si>
    <t>Caja</t>
  </si>
  <si>
    <t>NIT EMPRESA COTIZANTE (SIN PUNTOS, COMAS NI DÍGITO DE VERIFICACIÓN)</t>
  </si>
  <si>
    <t>RAZÓN SOCIAL COTIZANTE</t>
  </si>
  <si>
    <t>UNIDAD DE MANEJO</t>
  </si>
  <si>
    <t>PRESENTACIÓN SUGERIDA</t>
  </si>
  <si>
    <t>LABORATORIO FABRICANTE  OFERTADO</t>
  </si>
  <si>
    <t>VENCIMIENTO REGISTRO SANITARIO (dd/mm/aaaa)</t>
  </si>
  <si>
    <t>CODIGO CUM (sin digito de verificación)</t>
  </si>
  <si>
    <t>DÍGITO VERIFICACIÓN CUM</t>
  </si>
  <si>
    <t>CLASIFICACION DEL RIESGO</t>
  </si>
  <si>
    <t>CANTIDAD REQUERIDA</t>
  </si>
  <si>
    <t>Amoxicilina 500 mg cápsula</t>
  </si>
  <si>
    <t>Nitrofurantoina 100 mg cápsula</t>
  </si>
  <si>
    <t>Fluconazol 200 mg cápsula</t>
  </si>
  <si>
    <t xml:space="preserve">Nifedipino 10 mg cápsula </t>
  </si>
  <si>
    <t>Nifedipino 30 mg de liberación prolongada cápsula</t>
  </si>
  <si>
    <t>Captopril 50 mg tableta</t>
  </si>
  <si>
    <t>Cápsula</t>
  </si>
  <si>
    <t>Tableta recubierta</t>
  </si>
  <si>
    <t>Tableta</t>
  </si>
  <si>
    <t>Ampolla</t>
  </si>
  <si>
    <t>Aluminio hid.+ magnesio.hid.+ simeticona (200+200+40)mg/5cc suspensión oral x 360 cc. Marca MK o Pfizer</t>
  </si>
  <si>
    <t>Misoprostol 200 mcg tableta oral</t>
  </si>
  <si>
    <t>Omeprazol 20 mg cápsula</t>
  </si>
  <si>
    <t>Glibenclamida 5 mg tableta</t>
  </si>
  <si>
    <t>Medroxiprogesterona acetato 150 mg/3 c.c. solución inyectable</t>
  </si>
  <si>
    <t>Metilergobasina maleato 0.2 mg/c.c. solución inyectable</t>
  </si>
  <si>
    <t>Oxitocina 10 ui solución inyectable x 1 ml</t>
  </si>
  <si>
    <t>Oximetazolina 0.050% solución nasal x 15 ml.</t>
  </si>
  <si>
    <t>Cromoglicato de sodio 4% solución oftalmica x 5 ml.</t>
  </si>
  <si>
    <t xml:space="preserve">Lidocaina Clorhidrato 2% Jalea x 30 c.c. </t>
  </si>
  <si>
    <t>Clotrimazol 100 mg ovulo o tableta vaginal</t>
  </si>
  <si>
    <t>Ketotifeno 1 mg tableta</t>
  </si>
  <si>
    <t>Fentanilo citrato 0.05 mg/c.c. solución inyectable x 10 c.c.</t>
  </si>
  <si>
    <t>Remifentanilo 2 mg polvo para inyección</t>
  </si>
  <si>
    <t>Dipirona 1 gm/2 c.c. Solución inyectable</t>
  </si>
  <si>
    <t>Ketamina 5% solución inyectable x 10 ml.</t>
  </si>
  <si>
    <t xml:space="preserve">Frasco </t>
  </si>
  <si>
    <t>Caja x 2 imp</t>
  </si>
  <si>
    <t>Frasco</t>
  </si>
  <si>
    <t xml:space="preserve">Tubo </t>
  </si>
  <si>
    <t>Ovulo o Tableta</t>
  </si>
  <si>
    <t xml:space="preserve">Frasco vial </t>
  </si>
  <si>
    <t>Lidocaina 2% + epinefrina solución inyectable x 50 ml.</t>
  </si>
  <si>
    <t>Diazepan 10 mg solución inyectable x 2 ml.</t>
  </si>
  <si>
    <t>Clozapina 25 mg tableta</t>
  </si>
  <si>
    <t>Clozapina 100 mg tableta</t>
  </si>
  <si>
    <t>Lorazepam 1 mg tableta</t>
  </si>
  <si>
    <t>Lorazepan 2 mg tableta</t>
  </si>
  <si>
    <t xml:space="preserve">Midazolam 5 mg/ 5 ml Solucion inyectable </t>
  </si>
  <si>
    <t>Alprazolam 0.25 mg tableta</t>
  </si>
  <si>
    <t>Alprazolam 0.5 mg tableta</t>
  </si>
  <si>
    <t>Clonazepan 2 mg tableta</t>
  </si>
  <si>
    <t xml:space="preserve">Clonazepam 2.5 mg/c.c. Solucion oral x 30ml </t>
  </si>
  <si>
    <t>Clonazepan 0.5 mg tableta</t>
  </si>
  <si>
    <t>Carbon activado polvo u.s.p. x 500 gr</t>
  </si>
  <si>
    <t>Vaselina x 200 gramos</t>
  </si>
  <si>
    <t>Sulfato de magnesia u.s.p. x 400 g</t>
  </si>
  <si>
    <t>Bicarbonato de sodio x 500 g</t>
  </si>
  <si>
    <t>Acyclovir 250 mg solución inyectable</t>
  </si>
  <si>
    <t>Zidovudina 10 mg/ml Solucion Inyectable</t>
  </si>
  <si>
    <t>Metotrexato Sodico 50 mg solucion Inyectable</t>
  </si>
  <si>
    <t>Frasco x 30 ml</t>
  </si>
  <si>
    <t>Bolsa</t>
  </si>
  <si>
    <t>Pote</t>
  </si>
  <si>
    <t xml:space="preserve">Bolsa  </t>
  </si>
  <si>
    <t>Jeringa desechable para insulina 1 cc c/a  29 - 31 G  x ½ p (13 mm). Bisel tribiselado. Sin espacio muerto (aguja integrada)</t>
  </si>
  <si>
    <t>Sonda foley nro. 6 (s.vesical)</t>
  </si>
  <si>
    <t>Sonda foley nro. 10 (s. Vesical)</t>
  </si>
  <si>
    <t>Sonda foley nro. 12 (s. Vesical)</t>
  </si>
  <si>
    <t>Sonda foley nro. 14 (s. Vesical)</t>
  </si>
  <si>
    <t>Sonda foley nro. 16 (s. Vesical)</t>
  </si>
  <si>
    <t>Sonda foley nro. 18 (s. Vesical)</t>
  </si>
  <si>
    <t>Unidad</t>
  </si>
  <si>
    <t>Sonda foley nro. 20 (s. Vesical)</t>
  </si>
  <si>
    <t xml:space="preserve">Sonda foley nro. 22 (s. Vesical) </t>
  </si>
  <si>
    <t>Venda tela 4 x 5"</t>
  </si>
  <si>
    <t>Venda tela 6 x 5"</t>
  </si>
  <si>
    <t>Rollo</t>
  </si>
  <si>
    <t>Lámina portaobjeto con borde esmerilado en un extremo (placa para citologia) x 50 unidades</t>
  </si>
  <si>
    <t>MEDICAMENTOS</t>
  </si>
  <si>
    <t>NINGUNO</t>
  </si>
  <si>
    <t>CONTROL ESPECIAL</t>
  </si>
  <si>
    <t>GLUCOMETRIA USUARIO FINAL</t>
  </si>
  <si>
    <t>SONDA FOLEY</t>
  </si>
  <si>
    <t>VENDAS TELA</t>
  </si>
  <si>
    <t xml:space="preserve">MARCA O LABORATORIO FABRICANTE SUGERIDO </t>
  </si>
  <si>
    <t>Frasco vial</t>
  </si>
  <si>
    <t>Pipotiazina 25 mg/c.c. solución inyectable</t>
  </si>
  <si>
    <t>Midazolam 15mg/3ml Solución Inyectable</t>
  </si>
  <si>
    <t>Torniquete plano elástico libre de látex</t>
  </si>
  <si>
    <t>Papel e.c.g termosensible en z.80 x 90 mm x 280 hojas (General Electric MAC 400)</t>
  </si>
  <si>
    <t>Aguja puncion lumbar no 22g x 3 1/2</t>
  </si>
  <si>
    <t>Rifampicina 300 mg cápsula</t>
  </si>
  <si>
    <t>Trimetropim sulfa (160+800) mg tableta</t>
  </si>
  <si>
    <t>Hidroclorotiazida 25 mg tableta</t>
  </si>
  <si>
    <t>Metformina clorhidrato 850 mg tableta</t>
  </si>
  <si>
    <t>Ketoconazol 200 mg tableta</t>
  </si>
  <si>
    <t>Metoprolol 50 mg tableta</t>
  </si>
  <si>
    <t>Gemfibrozil 600 mg tableta</t>
  </si>
  <si>
    <t>Tiamina 100 mg/c.c. (Vit B1) solución inyectable X 10 c.c</t>
  </si>
  <si>
    <t>Nimodipino 30 mg tableta</t>
  </si>
  <si>
    <t>Clotrimazol 1% crema topica x 40 g</t>
  </si>
  <si>
    <t>Hidroxicina clorhidrato 100 mg/2cc solución inyectable</t>
  </si>
  <si>
    <t>Naproxeno 150 mg/5 c.c. suspensión x 80 c.c.</t>
  </si>
  <si>
    <t>Levomepromazina 4% solución oral X  20 ml.</t>
  </si>
  <si>
    <t>Biperideno 2 mg tableta</t>
  </si>
  <si>
    <t>Naproxen sódico 250 mg tableta</t>
  </si>
  <si>
    <t>Enalapril 5 mg tableta</t>
  </si>
  <si>
    <t>Amitriptilina 25 mg tableta</t>
  </si>
  <si>
    <t xml:space="preserve">Imipramina 25 mg tableta </t>
  </si>
  <si>
    <t>Tinidazol 1gm/5cc suspensión oral x 15 ml</t>
  </si>
  <si>
    <t>Alopurinol 100 mg tableta</t>
  </si>
  <si>
    <t>Metronidazol 500 mg tableta</t>
  </si>
  <si>
    <t>Prazosin 1 mg tableta</t>
  </si>
  <si>
    <t xml:space="preserve">Acetaminofen 100mg/c.c. Solucion oral  15-30 c.c. </t>
  </si>
  <si>
    <t>Amlodipino 5 mg tableta</t>
  </si>
  <si>
    <t>Vitamina a 50.000 u.i. cápsula</t>
  </si>
  <si>
    <t>Difenhidramina 12.5 mg/5 cc jarabe x 120 ml</t>
  </si>
  <si>
    <t>Albendazol 200 mg tableta</t>
  </si>
  <si>
    <t>Clotrimazol 1% solución topica x 30 ml</t>
  </si>
  <si>
    <t>Salbutamol 2 mg/5 c.c. jarabe x 120 ml.</t>
  </si>
  <si>
    <t>Acetaminofen 500 mg tableta</t>
  </si>
  <si>
    <t>Nitroprusiato de sodio 50 mg polvo para inyección</t>
  </si>
  <si>
    <t>Metoclopramida 10 mg/2 c.c. solución inyectable</t>
  </si>
  <si>
    <t>Fluoxetina 20 mg cápsula</t>
  </si>
  <si>
    <t xml:space="preserve">Amantadina 100 mg tableta </t>
  </si>
  <si>
    <t>Cefalexina 500 mg cápsula</t>
  </si>
  <si>
    <t xml:space="preserve">Carvedilol 6,25 mg, tableta recubierta </t>
  </si>
  <si>
    <t>Levodopa 250 mg + 25 mg carbidopa tableta</t>
  </si>
  <si>
    <t>Nistatina 100.000 ui/cc suspensión oral x 60 ml</t>
  </si>
  <si>
    <t>Enalapril 20 mg tableta</t>
  </si>
  <si>
    <t>Furosemida 40 mg tableta</t>
  </si>
  <si>
    <t>Salbutamol sulfato 0,50% solución para nebulizar</t>
  </si>
  <si>
    <t>Bisacodilo 5 mg tableta recubierta</t>
  </si>
  <si>
    <t>Cloruro de sodio 2 meq/c.c. Solución inyectable x 10 c.c.</t>
  </si>
  <si>
    <t>Diclofenac sódico 50 mg tableta</t>
  </si>
  <si>
    <t>Timolol maleato 0.5% solución oftalmica x 5 ml.</t>
  </si>
  <si>
    <t>Trazadone 50 mg tableta</t>
  </si>
  <si>
    <t>Lovastatina 20 mg tableta</t>
  </si>
  <si>
    <t>Metocarbamol 750 mg tableta</t>
  </si>
  <si>
    <t xml:space="preserve">Prednisolona+fenilefrina 1%+0.12% solucion oft.x 5 c.c. </t>
  </si>
  <si>
    <t>Colistina 0.15% + corticoide 0.05% + neomicina 0.5% gotas óticas x 15 ml</t>
  </si>
  <si>
    <t>Betametasona Dipropionato 0.05% crema x 20 g</t>
  </si>
  <si>
    <t>Bromocriptina 2.5 mg tableta</t>
  </si>
  <si>
    <t>Metimazol 5 mg tableta</t>
  </si>
  <si>
    <t>Corticoide + neomicina + polimixina b solución oftalmica x 5 ml.</t>
  </si>
  <si>
    <t>Sulfato ferroso anhidro 300 mg tableta</t>
  </si>
  <si>
    <t>Eritropoyetina 2000 UI solucion inyectable</t>
  </si>
  <si>
    <t>Nitrofurazona 0.2%  pomada x 500 g</t>
  </si>
  <si>
    <t>Ketotifeno 1 mg/5 c.c.jarabe x 100-120 ml.</t>
  </si>
  <si>
    <t>Amoxicilina 250mg/5cc polvo para suspensión x 100 ml</t>
  </si>
  <si>
    <t>Norfloxacina 400 mg tableta</t>
  </si>
  <si>
    <t>Espironolactona 25 mg tableta</t>
  </si>
  <si>
    <t>Estrogenos conjugados 0.625 mg tableta</t>
  </si>
  <si>
    <t>Fumarato ferroso+ac.folico+ac.ascorbico (60+0.4+70 mg) (Iofi)</t>
  </si>
  <si>
    <t>Podofilina  al 20% solución tópica x 5 ml</t>
  </si>
  <si>
    <t>Sulfasalazina  500 mg tableta</t>
  </si>
  <si>
    <t>Metronidazol 500 mg óvulos</t>
  </si>
  <si>
    <t>Ovulo</t>
  </si>
  <si>
    <t>Levomepromazina 100 mg tableta</t>
  </si>
  <si>
    <t>Dihidrocodeina 12,1mg/5ml jarabe x 120 ml</t>
  </si>
  <si>
    <t>Tiamina 300 mg (vit. B1) tableta</t>
  </si>
  <si>
    <t xml:space="preserve">Enema evacuante rectal x 133 c.c. </t>
  </si>
  <si>
    <t>Gentamicina sulfato 80mg/2cc solución inyectable</t>
  </si>
  <si>
    <t>Metoclopramida 4 mg/c.c. Solución oral x 30 c.c.</t>
  </si>
  <si>
    <t>Beclometasona 50 mcg/dosis inhalador bucal x 200 dosis Libre de CFC</t>
  </si>
  <si>
    <t xml:space="preserve">Levodopa + carbidopa 100+25 mg </t>
  </si>
  <si>
    <t>Haloperidol 5 mg/c.c. solución inyectable IV/IM</t>
  </si>
  <si>
    <t>Penicilina g benzatinica 1.200.000 ui polvo p/inyección</t>
  </si>
  <si>
    <t>Espiramicina 3.000.000 UI Tableta</t>
  </si>
  <si>
    <t>Furosemida 20 mg/ 2 c.c. solución inyectable x 2 c.c.</t>
  </si>
  <si>
    <t>Carvedilol 25 mg, tableta recubierta</t>
  </si>
  <si>
    <t>Cloruro de potasio 2 meq/c.c. Solución inyectable x 10 c.c.</t>
  </si>
  <si>
    <t>Gentamicina 0.3% unguento oftalmico x 5 g</t>
  </si>
  <si>
    <t>Alopurinol 300 mg tableta</t>
  </si>
  <si>
    <t>Levonorgestrel 0.75 mg  tabletas</t>
  </si>
  <si>
    <t>Caja x 2 tab</t>
  </si>
  <si>
    <t>Crotamiton 10% loción x 60 ml.</t>
  </si>
  <si>
    <t>Retinoico acido 0.05% crema tópica x 30 g</t>
  </si>
  <si>
    <t>Tubo</t>
  </si>
  <si>
    <t>Carbamazepina 100 mg/5 c.c. Jarabe x 120 ml.</t>
  </si>
  <si>
    <t>Azitromicina 200mg/5cc polvo para reconstituir x 15 ml</t>
  </si>
  <si>
    <t>Bicarbonato de sodio 1 meq/c.c. Solución inyectable x 10 c.c.</t>
  </si>
  <si>
    <t>Fluoxetina 20 mg/5ml solución oral X 70 ml</t>
  </si>
  <si>
    <t>Pirantel pamoato 250mg/5cc suspensión oral x 15 ml</t>
  </si>
  <si>
    <t>Imipramina 10 mg tableta</t>
  </si>
  <si>
    <t>Cianocobalamina 1 mg/c.c. solución inyectable</t>
  </si>
  <si>
    <t>Ciprofloxacina 100 mg/10 cc solución inyectable</t>
  </si>
  <si>
    <t>Calcio carbonato + vitamina d (600 mg + 200 ui) tableta</t>
  </si>
  <si>
    <t>Haloperidol 5 mg tableta</t>
  </si>
  <si>
    <t>Ascorbico ácido 500 mg.(vitamina c) tableta</t>
  </si>
  <si>
    <t>Metoclopramida 10 mg tableta</t>
  </si>
  <si>
    <t>Ibuprofeno 400 mg tableta</t>
  </si>
  <si>
    <t>Corticoide + anestesico unguento proctológico x 10 gr</t>
  </si>
  <si>
    <t xml:space="preserve">Terbutalina 10 mg/c.c. solución para nebulizar x 10 ml. </t>
  </si>
  <si>
    <t>HEPARINA DE BAJO PESO</t>
  </si>
  <si>
    <t>Heparina de bajo peso molecular 40 mg o su equivalente en UI solución inyectable</t>
  </si>
  <si>
    <t>Jeringa prellenada</t>
  </si>
  <si>
    <t>Heparina de bajo peso molecular  60 mg  o su equivalente en UI solución inyectable</t>
  </si>
  <si>
    <t>INSULINAS</t>
  </si>
  <si>
    <t xml:space="preserve">Insulina zinc humana regular (R)100 U.I/c.c. solución inyectable x 10 cc </t>
  </si>
  <si>
    <t xml:space="preserve">Insulina zinc humana nph (N) 100 U.I/c.c. solución inyectable x 10 cc. </t>
  </si>
  <si>
    <t>Insulina glargina 100 U.I/c.c solución inyectable X 10 c.c</t>
  </si>
  <si>
    <t>Insulina glulisina 100 U.I/c.c solución inyectable x 10 c.c.</t>
  </si>
  <si>
    <t>Teofilina 300 mg cápsula de liberación prolongada</t>
  </si>
  <si>
    <t>Piridostigmina Bromuro 60 mg tableta</t>
  </si>
  <si>
    <t>Suero antiofidico polivalente polvo para inyección</t>
  </si>
  <si>
    <t>Beta metil digoxina 0,1mg/cc. solución inyectable</t>
  </si>
  <si>
    <t>Metronidazol 250mg/5cc suspensión oral x 120 ml</t>
  </si>
  <si>
    <t>Albendazol 100mg/5cc suspensión oral x 20 ml</t>
  </si>
  <si>
    <t>Ceftriaxona (sal sódica) 1 gm polvo para inyección</t>
  </si>
  <si>
    <t>Bupivacaina 0.5% pesada solución inyectable x 4 ml.</t>
  </si>
  <si>
    <t>Propanolol 40 mg tableta</t>
  </si>
  <si>
    <t>Espironolactona 100 mg tableta</t>
  </si>
  <si>
    <t>Corticoide + anestesico supositorios</t>
  </si>
  <si>
    <t>Supositorio</t>
  </si>
  <si>
    <t>Captopril 25 mg tableta</t>
  </si>
  <si>
    <t>Hidrocortisona 1% crema topica x 15 g.</t>
  </si>
  <si>
    <t>Benzoato de bencilo 30% locion x 120 ml</t>
  </si>
  <si>
    <t>Bupivacaina + epinefrina 0.5% s/p solución inyectable. X 10 ml.</t>
  </si>
  <si>
    <t>Dicloxacilina 250mg/5cc polvo para suspensión x 80 ml</t>
  </si>
  <si>
    <t>Bupivacaina levogira 0.75% x 10 ml</t>
  </si>
  <si>
    <t>Beclometasona 250 mcg/dosis inhalador bucal x 200 dosis Libre de CFC</t>
  </si>
  <si>
    <t>Betametasona fosfato 4 mg/c.c. Solución inyectable</t>
  </si>
  <si>
    <t>Epinefrina 1mg/c.c. solución inyectable</t>
  </si>
  <si>
    <t>Ampicilina anhidra o trihidrato 500 mg cápsula</t>
  </si>
  <si>
    <t>Eritromicina etilsuccinato o estearato 250mg/5cc suspensión oral x 60 ml</t>
  </si>
  <si>
    <t>Meropenem 1 gm polvo para inyección</t>
  </si>
  <si>
    <t xml:space="preserve">Aztreonam 1 gr polvo esteril  para inyección </t>
  </si>
  <si>
    <t>Toxoide tetanico (vacuna) 40 ui/0.5 c.c.</t>
  </si>
  <si>
    <t>Aplicadores con algodon x 100 unidades</t>
  </si>
  <si>
    <t>Paquete</t>
  </si>
  <si>
    <t>Penicilina g cristalina 5.000.000 ui polvo p/inyección</t>
  </si>
  <si>
    <t>Betametasona acetato - fosfato (3mg de base +3 mg)/ml. suspensión inyectable</t>
  </si>
  <si>
    <t>Zidovudina 10 mg/ml solución oral x 240 ml</t>
  </si>
  <si>
    <t>Omeprazol 40 mg/10 ml, solución inyectable</t>
  </si>
  <si>
    <t>Tramadol clorhidrato 100 mg/c.c. solución oral x 10 c.c.</t>
  </si>
  <si>
    <t>Calcitriol 0.25 mcg cápsula</t>
  </si>
  <si>
    <t>Clotrimazol 1% crema vaginal x 40 g</t>
  </si>
  <si>
    <t>Nitroglicerina 0.5% solución inyecctable</t>
  </si>
  <si>
    <t>Piridoxina 50 mg (vitamina b6) cápsula</t>
  </si>
  <si>
    <t>Ipratropio bromuro 0.02 mg/dosis inhalador x 200 dosis Libre de CFC</t>
  </si>
  <si>
    <t>Acetaminofen 150 mg/5 c.c.jarabe x 60 c.c.</t>
  </si>
  <si>
    <t>Naloxone 0.04% solución inyectable x 1 ml.</t>
  </si>
  <si>
    <t>Cefepime 1 gm polvo para inyección</t>
  </si>
  <si>
    <t>Estrogenos conjugados 0.625mg crema vaginal x 40 gr</t>
  </si>
  <si>
    <t>Succinilcolina 100 mg/c.c. solución inyectable x 10 ml</t>
  </si>
  <si>
    <t>Atropina sulfato 1%. solución inyectable x 1 ml.</t>
  </si>
  <si>
    <t>Nevirapina 50 mg/5ml suspension</t>
  </si>
  <si>
    <t>Sulfato ferroso 125 mg/c.c. gotas orales x 20 ml.</t>
  </si>
  <si>
    <t>Heparina 5000 ui/c.c. solución inyectable x 5 ml.</t>
  </si>
  <si>
    <t>Loratadina 10 mg tableta</t>
  </si>
  <si>
    <t>Ampicilina + sulbactam 1.5 gm polvo para inyección</t>
  </si>
  <si>
    <t>Dexametasona fosfato 8 mg/2 c.c. solución inyectable</t>
  </si>
  <si>
    <t>Trimetoprim sulfa 40mg+200mg/5cc suspensión x 60 ml</t>
  </si>
  <si>
    <t>Fraccion proteica del plasma, no menos del 4.0% x 500 ml</t>
  </si>
  <si>
    <t xml:space="preserve">Sulfato de zinc 2 mg/ml solución oral x 80 ml </t>
  </si>
  <si>
    <t>Penicilina g benzatinica 2.400.000 ui polvo p/inyección</t>
  </si>
  <si>
    <t>Calcio gluconato 10% solución inyectable x 10 c.c.</t>
  </si>
  <si>
    <t>Acetilcisteina 300 mg/3 ml solución inyectable</t>
  </si>
  <si>
    <t>Lamivudina 10 mg/ml solucion oral x 240 ml</t>
  </si>
  <si>
    <t xml:space="preserve">Difenhidramina clorhidrato 10 mg/1 ml solucion inyectable </t>
  </si>
  <si>
    <t>Magnesio sulfato 20% solución inyectable x 10 ml.</t>
  </si>
  <si>
    <t>Fitomenadiona 2 mg/0.2 c.c.solución oral/i.m./i.v. Marca Roche</t>
  </si>
  <si>
    <t>Labetalol clorhidrato 100 mg/ 20 c.c solución inyectable</t>
  </si>
  <si>
    <t>Hioscina butil bromuro 10 mg tableta</t>
  </si>
  <si>
    <t xml:space="preserve">Isosorbide dinitrato 5 mg tableta sublingual </t>
  </si>
  <si>
    <t>Lopinavir + ritonavir (80 + 20 mg)/ml solución oral x 160 ml</t>
  </si>
  <si>
    <t>Etilefrina 10 mg/c.c. solución inyectable</t>
  </si>
  <si>
    <t>Acido tranexamico 5mg/ 5ml Sln inyectable</t>
  </si>
  <si>
    <t>Pregabalina 75 mg</t>
  </si>
  <si>
    <t>Prednisolona 5 mg tableta</t>
  </si>
  <si>
    <t>Oxacilina (sal sódica) 1 gm polvo para inyección</t>
  </si>
  <si>
    <t xml:space="preserve">Cateter venoso central trilumen 7 -8 Fr x 20 cm </t>
  </si>
  <si>
    <t>Clindamicina 600 mg/4 c.c solución inyectable</t>
  </si>
  <si>
    <t>Medroxiprogesterona acetato 5 mg tableta</t>
  </si>
  <si>
    <t>Carbamazepina 200 mg tableta</t>
  </si>
  <si>
    <t>Clopidogrel 75 mg, tableta recubierta</t>
  </si>
  <si>
    <t>Beta metil digoxina 0.1 mg tableta</t>
  </si>
  <si>
    <t>Claritromicina 500 mg polvo para inyección</t>
  </si>
  <si>
    <t>Metildopa 250 mg tableta</t>
  </si>
  <si>
    <t>Leche maternizada primer semestre polvo x 400 gr Mc.Nestle</t>
  </si>
  <si>
    <t>Tarro</t>
  </si>
  <si>
    <t>COLLAR CERVICAL</t>
  </si>
  <si>
    <t>Collar cervical de filadelfia talla S</t>
  </si>
  <si>
    <t>Collar cervical de filadelfia talla M</t>
  </si>
  <si>
    <t>Collar cervical de filadelfia talla L</t>
  </si>
  <si>
    <t>TUBOS ENDOTRAQUEALES CON BALÓN</t>
  </si>
  <si>
    <t>Tubo endotraqueal nro. 5.5 con balón</t>
  </si>
  <si>
    <t>Tubo endotraqueal nro. 3.5 con balón</t>
  </si>
  <si>
    <t xml:space="preserve">Unidad   </t>
  </si>
  <si>
    <t>Tubo endotraqueal nro. 4.0 con balón</t>
  </si>
  <si>
    <t>Tubo endotraqueal nro. 4.5 con balón</t>
  </si>
  <si>
    <t>Tubo endotraqueal nro. 5.0 con balón</t>
  </si>
  <si>
    <t>Tubo endotraqueal nro. 6.0 con balón</t>
  </si>
  <si>
    <t>Tubo endotraqueal nro. 6.5 con balón</t>
  </si>
  <si>
    <t>Tubo endotraqueal nro. 7.0 con balón</t>
  </si>
  <si>
    <t>Tubo endotraqueal nro. 7.5 con balón</t>
  </si>
  <si>
    <t>Tubo endotraqueal nro. 8.0 con balón</t>
  </si>
  <si>
    <t>Tubo endotraqueal nro. 8.5 con balón</t>
  </si>
  <si>
    <t>Tubo endotraqueal nro. 9.0 con balón</t>
  </si>
  <si>
    <t>Tubo endotraqueal nro. 9.5 con balón</t>
  </si>
  <si>
    <t>TUBOS ENDOTRAQUEALES SIN BALÓN</t>
  </si>
  <si>
    <t>Tubo endotraqueal nro. 3.0 sin balón</t>
  </si>
  <si>
    <t>Tubo endotraqueal nro. 3.5 sin balón</t>
  </si>
  <si>
    <t>Tubo endotraqueal nro. 4.0 sin balón</t>
  </si>
  <si>
    <t>Tubo endotraqueal nro. 4.5 sin balón</t>
  </si>
  <si>
    <t>Tubo endotraqueal nro. 5.0 sin balón</t>
  </si>
  <si>
    <t>Tubo endotraqueal nro. 2.5 sin balón</t>
  </si>
  <si>
    <t>UNIDAD DE SUCCION</t>
  </si>
  <si>
    <t>Sistema para drenaje de heridas de 400 ml, trocar de 1/4"(19 fr)</t>
  </si>
  <si>
    <t>Sistema para drenaje de heridas de 400 ml, trocar de 1/8"(10 fr)</t>
  </si>
  <si>
    <t>VENDAS DE YESO</t>
  </si>
  <si>
    <t>Venda yeso 4 x 5". Marca Gypsona</t>
  </si>
  <si>
    <t>Venda yeso 6 x 5". Marca Gypsona</t>
  </si>
  <si>
    <t>Jeringa desechable punta cateter 50 cc</t>
  </si>
  <si>
    <t>Clonidina clorihidrato 0.150 mg tableta</t>
  </si>
  <si>
    <t>Isosorbide dinitrato 10 mg tableta</t>
  </si>
  <si>
    <t>Tramadol clorhidrato 50 mg/c.c. Solución Inyectable</t>
  </si>
  <si>
    <t>Litio carbonato 300 mg tableta</t>
  </si>
  <si>
    <t>Verapamilo 120 mg tableta</t>
  </si>
  <si>
    <t xml:space="preserve">Diclofenaco sodico 75 mg solución inyectable x 3 c.c IV / IM </t>
  </si>
  <si>
    <t>Amikacina sulfato 100mg/2cc solución inyectable</t>
  </si>
  <si>
    <t>Loperamida 2 mg tableta</t>
  </si>
  <si>
    <t>Dimenhidrinato 50 mg tableta</t>
  </si>
  <si>
    <t>Piperacilina + tazobactam (4+0.5 gr) polvo para inyección</t>
  </si>
  <si>
    <t>Ampicilina (sal sódica) x 500 mg polvo para inyección</t>
  </si>
  <si>
    <t>Metoprolol 100 mg tableta</t>
  </si>
  <si>
    <t>Acetil salicilico acido 100 mg tableta</t>
  </si>
  <si>
    <t>Amikacina sulfato 500mg/2cc solución inyectable</t>
  </si>
  <si>
    <t>Metilprednisolona (succinato sódico) 500 mg polvo inyección</t>
  </si>
  <si>
    <t>Penicilina g cristalina 1.000.000 ui polvo p/inyección</t>
  </si>
  <si>
    <t xml:space="preserve">Metoprolol tartrato 5 mg/5 c.c solución inyectable </t>
  </si>
  <si>
    <t>Hioscina b. bromuro + dipirona (0,0 20 + 2.5)gr/5 ml solución inyectable</t>
  </si>
  <si>
    <t>Tramadol clorhidrato 100mg/2 c.c. solución Inyectable</t>
  </si>
  <si>
    <t>Neostigmina metil sulfato 0.05% solución inyectable. X 1 ml.</t>
  </si>
  <si>
    <t>Calcitriol 0.50 mcg cápsula</t>
  </si>
  <si>
    <t>Equipo transfusión de sangre s/a</t>
  </si>
  <si>
    <t>Hidrocortisona sodio succinato 100 mg polvo para inyección</t>
  </si>
  <si>
    <t>Rocuronio bromuro 50 mg/5 c.c.solución inyectable</t>
  </si>
  <si>
    <t>Plata sulfadiazina 1% crema x 30 g</t>
  </si>
  <si>
    <t>Acyclovir 200 mg tableta</t>
  </si>
  <si>
    <t>Metronidazol micronizado 500mg solución inyectable x 100 ml</t>
  </si>
  <si>
    <t xml:space="preserve">Bolsa </t>
  </si>
  <si>
    <t>Colchicina 0.5 mg tableta</t>
  </si>
  <si>
    <t xml:space="preserve">Bolsa adulto recolectora de orina x 2000 c.c. con soporte </t>
  </si>
  <si>
    <t>Vancomicina clorhidrato 500 mg polvo para inyección</t>
  </si>
  <si>
    <t>Haloperidol 10 mg tableta</t>
  </si>
  <si>
    <t>Loratadina 5 mg/5cc jarabe x 100 ml</t>
  </si>
  <si>
    <t>Verapamilo 80 mg tableta</t>
  </si>
  <si>
    <t>ANTIPSICÓTICOS</t>
  </si>
  <si>
    <t>Quetiapina 100 mg tableta</t>
  </si>
  <si>
    <t>Quetiapina 200 mg tableta</t>
  </si>
  <si>
    <t>Quetiapina liberacion prolongada 50 mg tableta</t>
  </si>
  <si>
    <t>Quetiapina liberacion prolongada 200 mg tableta</t>
  </si>
  <si>
    <t>Quetiapina liberacion prolongada 300 mg tableta</t>
  </si>
  <si>
    <t>Risperidona 2 mg tableta Marca: Isperin</t>
  </si>
  <si>
    <t>Risperidona 3 mg tableta Marca: Isperin</t>
  </si>
  <si>
    <t>Risperidona 1 mg/m solucion oral  x 30 ml</t>
  </si>
  <si>
    <t>Risperidona micro esferas liber. prolong 25 mg susp inyectable</t>
  </si>
  <si>
    <t>Risperidona liberacion prolongada 37,5 mg susp inyectable</t>
  </si>
  <si>
    <t>Olanzapina 10 mg tableta recubierta Marca: Prolanz</t>
  </si>
  <si>
    <t>Olanzapina 5 mg tableta Marca: Prolanz</t>
  </si>
  <si>
    <t xml:space="preserve">Olanzapina  10 mg/ml solucion inyectable </t>
  </si>
  <si>
    <t>Sertralina 50 mg tableta</t>
  </si>
  <si>
    <t>Sertralina 100 mg tableta</t>
  </si>
  <si>
    <t>Escitalopram 10 mg tableta</t>
  </si>
  <si>
    <t>Escitalopram 20 mg</t>
  </si>
  <si>
    <t>Fluvoxamina 100 mg</t>
  </si>
  <si>
    <t>SONDA NELATON</t>
  </si>
  <si>
    <t>Sonda nelaton nro. 6 (s. Uretral)</t>
  </si>
  <si>
    <t>Sonda nelaton nro. 8 (s. Uretral)</t>
  </si>
  <si>
    <t>Sonda nelaton nro. 10 (s. Uretral)</t>
  </si>
  <si>
    <t>Sonda nelaton nro. 12 (s. Uretral)</t>
  </si>
  <si>
    <t>Sonda nelaton nro. 14 (s. Uretral)</t>
  </si>
  <si>
    <t>Sonda nelaton nro. 16 (s. Uretral)</t>
  </si>
  <si>
    <t>Sonda nelaton nro. 18 (s. Uretral)</t>
  </si>
  <si>
    <t>TIROXINAS</t>
  </si>
  <si>
    <t>Levotiroxina sódica 50 mcg tableta, Marca Merk</t>
  </si>
  <si>
    <t>Levotiroxina sódica 100 mcg tableta. Marca Merk</t>
  </si>
  <si>
    <t>Gasa no tejida esteril 7,5 *7,5 cm x 4 pliegues. Paquete x 2 unid.</t>
  </si>
  <si>
    <t>Esparadrapo de seda con ahdesivo hipoalergenico x 2"</t>
  </si>
  <si>
    <t xml:space="preserve">Taco </t>
  </si>
  <si>
    <t>Curas médicas redondas</t>
  </si>
  <si>
    <t>Seda Negra Trenzada  2/0 sin aguja, para ligadura, longitud 10 hebras X 75 cm</t>
  </si>
  <si>
    <t>Algodón en torundas x 500 gr</t>
  </si>
  <si>
    <t>Papel termosensible  63 mm x 30 mt</t>
  </si>
  <si>
    <t>Seda negra Trenzada  2/0, 75 cm, ag recta cortante 60 mm - GS.</t>
  </si>
  <si>
    <t xml:space="preserve">Extencion * 150 cm. conex  luer loock para bomba infusion </t>
  </si>
  <si>
    <t>Electrodo desechable adulto</t>
  </si>
  <si>
    <t>Hemostatico local 5 x 8 cm</t>
  </si>
  <si>
    <t>Correa plástica numerada para cierre de carro de reanimación</t>
  </si>
  <si>
    <t>Test Bowie Dick x hoja</t>
  </si>
  <si>
    <t>Papel e.c.g Termosensible en z. 90 x 90 mm x 200 hojas (ecg schiller)</t>
  </si>
  <si>
    <t>Adaptador para terapia intermitente, libre de aguja, luer lock. Marca BD, Rymco, Life Care</t>
  </si>
  <si>
    <t>Povidona iodada 8% solución x 120 ml</t>
  </si>
  <si>
    <t>EQUIPO VENOCLISIS</t>
  </si>
  <si>
    <t xml:space="preserve">AGUJAS CIRUGIA </t>
  </si>
  <si>
    <t>Aguja raquidea no.25g punta lápiz</t>
  </si>
  <si>
    <t>Aguja raquidea no 27g punta lápiz</t>
  </si>
  <si>
    <t>CATETER</t>
  </si>
  <si>
    <t>Cateter ven. Perif. 18g x 1 1/4 p. Poliuretano. Marca Jelco Plus, Introcan Certo, Insyte.</t>
  </si>
  <si>
    <t>Cateter ven. Perif. 20g x 1 1/4 p. Poliuretano. Marca Jelco Plus, Introcan Certo. Insyte</t>
  </si>
  <si>
    <t>Cateter ven. Perif. 22g x 1 p. Poliuretano. Marca Jelco Plus, Introcan Certo. Insyte</t>
  </si>
  <si>
    <t>Cateter ven. Perif. 24g x 3/4 p. Poliuretano. Marca Jelco Plus, Introcan Certo. Insyte</t>
  </si>
  <si>
    <t>CINTA MICROPOROSA</t>
  </si>
  <si>
    <t>Carreta</t>
  </si>
  <si>
    <t>Cinta quirurgica microporosa 1 pulgada</t>
  </si>
  <si>
    <t>Cinta quirurgica microporosa 2 pulgadas</t>
  </si>
  <si>
    <t>CUCHILLAS DE BISTURI</t>
  </si>
  <si>
    <t>Hoja o cuchilla de bisturi nro. 10</t>
  </si>
  <si>
    <t>Hoja o cuchilla de bisturi nro. 11</t>
  </si>
  <si>
    <t>Hoja o cuchilla de bisturi nro. 12</t>
  </si>
  <si>
    <t>Hoja o cuchilla de bisturi nro. 15</t>
  </si>
  <si>
    <t>Hoja o cuchilla de bisturi nro. 20</t>
  </si>
  <si>
    <t>Hoja o cuchilla de bisturi nro. 23</t>
  </si>
  <si>
    <t>POVIDONA</t>
  </si>
  <si>
    <t>Povidona iodada con iodo titulable &gt; 0.75% espuma x 120 ml. Marca Electro west</t>
  </si>
  <si>
    <t>Povidona iodada con iodo titulable &gt; 0.75% espuma x 850 ml. Marca Electro west</t>
  </si>
  <si>
    <t>Cepillo ginecológico en empaque individual</t>
  </si>
  <si>
    <t>Jeringa desechable 1 c.c. Ag. 25g x 5/8 p (sarampión) Bisel tribiselado</t>
  </si>
  <si>
    <t>Papel termosensible en z.90 x 90 mm x 200 h (desfib.zoll m)</t>
  </si>
  <si>
    <t>UNIDAD</t>
  </si>
  <si>
    <t>Tropicamida 1% solución oftalmica x 15 ml.</t>
  </si>
  <si>
    <t>Lápiz para electrobisturi control mano</t>
  </si>
  <si>
    <t>Haloperidol 2mg/ml solución oral x 15 ml</t>
  </si>
  <si>
    <t>Propanolol 80 mg tableta</t>
  </si>
  <si>
    <t>Hierro Sacarato 100mg/5ml solución inyectable</t>
  </si>
  <si>
    <t xml:space="preserve">Emtricitabina + tenofovir (200+300) mg </t>
  </si>
  <si>
    <t xml:space="preserve">Cefalexina 250mg/5cc polvo para reconstituir x 60 ml </t>
  </si>
  <si>
    <t>Cefradina 1 gm polvo para inyección</t>
  </si>
  <si>
    <t xml:space="preserve">Doxiciclina 100 mg cápsula </t>
  </si>
  <si>
    <t xml:space="preserve">Ritonavir 100 mg </t>
  </si>
  <si>
    <t>Ergotamina + cafeina 1+100 mg tableta</t>
  </si>
  <si>
    <t>Dicloxacilina 500 mg cápsula</t>
  </si>
  <si>
    <t>Azatioprina 50 mg</t>
  </si>
  <si>
    <t>Penicilina g procainica 800.000 ui polvo para inyección</t>
  </si>
  <si>
    <t>Alcohol antiséptico 70% botella plástica x 700 ml</t>
  </si>
  <si>
    <t>Botella</t>
  </si>
  <si>
    <t>Tinidazol 500 mg tableta</t>
  </si>
  <si>
    <t>Atorvastatina 20 mg, tableta recubierta</t>
  </si>
  <si>
    <t>Hidrocortisona 0.5% loción x 30 ml.</t>
  </si>
  <si>
    <t>Balon hemostatico para hemorragia posparto</t>
  </si>
  <si>
    <t>Proparacaina clorhidrato 0,5% solución oftalmica x 15 ml</t>
  </si>
  <si>
    <t>Bupivacaina 0.5% simple solución inyectable x 10 ml.</t>
  </si>
  <si>
    <t>Sucralfate 1 gm tableta</t>
  </si>
  <si>
    <t>AGUJAS HIPODERMICAS</t>
  </si>
  <si>
    <t>Aguja desechable # 19g x 1 1/2 p.</t>
  </si>
  <si>
    <t>Aguja desechable # 20g x 1 p.</t>
  </si>
  <si>
    <t>Aguja desechable # 21g x 1 1/2 p.</t>
  </si>
  <si>
    <t>Aguja desechable # 23g x 1 p.</t>
  </si>
  <si>
    <t>Aguja desechable # 25g x 5/8 p.</t>
  </si>
  <si>
    <t>Aguja desechable # 26g x 1/2 p.</t>
  </si>
  <si>
    <t>AIRE REES</t>
  </si>
  <si>
    <t>Aire rees desec. Balon cap.2 lt. Válvula. Manguera corrugada</t>
  </si>
  <si>
    <t>VENDAS  ELASTICAS</t>
  </si>
  <si>
    <t>Venda elástica 5 x 5"</t>
  </si>
  <si>
    <t>Venda elástica 6 x 5"</t>
  </si>
  <si>
    <t>JERINGAS</t>
  </si>
  <si>
    <t>Jeringa desechable 10 c.c ag. 21g 1 1/2 p. Bisel tribiselado</t>
  </si>
  <si>
    <t>Jeringa desechable 20 c.c  s/a 3 partes</t>
  </si>
  <si>
    <t>MASCARAS LARINGEAS DESECHABLES</t>
  </si>
  <si>
    <t>Mascara laringea desechable nro. 3.0 UNIDAD</t>
  </si>
  <si>
    <t>Mascara laringea desechable nro. 4.0 UNIDAD</t>
  </si>
  <si>
    <t>SONDA NASOGASTRICA</t>
  </si>
  <si>
    <t>Sonda nasogastrica nro. 6 (s. Duodenal)</t>
  </si>
  <si>
    <t>Sonda nasogastrica nro. 8 (s. Duodenal)</t>
  </si>
  <si>
    <t>Sonda nasogastrica nro. 10 (s. Duodenal)</t>
  </si>
  <si>
    <t>Sonda nasogastrica nro. 12 (s. Duodenal)</t>
  </si>
  <si>
    <t>Sonda nasogastrica nro. 14 (s. Duodenal)</t>
  </si>
  <si>
    <t>Sonda nasogastrica nro. 16 (s. Duodenal)</t>
  </si>
  <si>
    <t>Sonda nasogastrica nro. 18 (s. Duodenal)</t>
  </si>
  <si>
    <t>SONDAS TORAX</t>
  </si>
  <si>
    <t>Sonda a torax nro. 28</t>
  </si>
  <si>
    <t>Sonda a torax nro. 32</t>
  </si>
  <si>
    <t>Sonda a torax nro. 34</t>
  </si>
  <si>
    <t>Salbutamol 100 mcg/dosis inhalador x 200 dosis Libre de CFC</t>
  </si>
  <si>
    <t>Ciprofloxacina clorhidrato 500 mg tableta recubierta</t>
  </si>
  <si>
    <t>Beclometasona 50 mcg/dosis inhalador nasal x 200 dosis  Libre de CFC</t>
  </si>
  <si>
    <t>Sales de rehidratacion oral polvo para disolver x 20,6 g</t>
  </si>
  <si>
    <t>Sobre</t>
  </si>
  <si>
    <t>Albumina humana normal 20% x 50 ml.</t>
  </si>
  <si>
    <t>Bolsa nutrición enteral x 1.500 ml</t>
  </si>
  <si>
    <t>Soda para anestesia x 32 libras</t>
  </si>
  <si>
    <t>Caneca</t>
  </si>
  <si>
    <t>Cateter cricotirotomia adulto. Set</t>
  </si>
  <si>
    <t>Dispositivo esteril para fijación de cateter 6 X 8 cm, con ventana transparente y tira de registro y sugeción. Marca BSN Medical</t>
  </si>
  <si>
    <t>Botella para drenaje toraxico x 1100 cc</t>
  </si>
  <si>
    <t>Bolsa para sangre x 450 c.c. (sencilla)</t>
  </si>
  <si>
    <t xml:space="preserve">Clorhexidina 2.3% solución tópica x 60 ml </t>
  </si>
  <si>
    <t>Aposito ocular (gasa algodón)</t>
  </si>
  <si>
    <t xml:space="preserve">Propofol 200 mg/20 c.c. (1%) solución inyectable </t>
  </si>
  <si>
    <t>GUANTES ESTERILES</t>
  </si>
  <si>
    <t>Guantes cirujano esteril nro. 6.5 par</t>
  </si>
  <si>
    <t>Par</t>
  </si>
  <si>
    <t>Guantes cirujano esteril nro. 7.0 par</t>
  </si>
  <si>
    <t>Guantes cirujano esteril nro. 7.5 par</t>
  </si>
  <si>
    <t>Guantes cirujano esteril nro. 8.0 par</t>
  </si>
  <si>
    <t xml:space="preserve">Clorhexidina 2% jabón x 120 ml </t>
  </si>
  <si>
    <t>Gel lubricante esteril SACHET</t>
  </si>
  <si>
    <t>Sachet</t>
  </si>
  <si>
    <t>Valproico ácido 250 mg cápsula. Marca ferbin/Procaps</t>
  </si>
  <si>
    <t>Levomepromazina 25 mg tableta</t>
  </si>
  <si>
    <t>Inmunoglobulina anti rh 250 - 300 mcg/2 c.c. solución inyectable</t>
  </si>
  <si>
    <t>Hioscina butil bromuro 20 mg/c.c. solución inyectable</t>
  </si>
  <si>
    <t>Aplicadores sin algodón x 500 unid</t>
  </si>
  <si>
    <t>Portaplacas de plastico para  placas portaobjetos (citologias)</t>
  </si>
  <si>
    <t>Humidificador con rosca plastica o cromada</t>
  </si>
  <si>
    <t>Tubo de succión en silicona diam 1/4"x 3,0 mts</t>
  </si>
  <si>
    <t>Espatula de aire para toma de citología en empaque individual</t>
  </si>
  <si>
    <t>Abrazadera o ligadura para cordon umbilical (clamp) unidad</t>
  </si>
  <si>
    <t xml:space="preserve">Niple plástico desechable para oxigenoterapia </t>
  </si>
  <si>
    <t>CIRCUITO ANESTESIA</t>
  </si>
  <si>
    <t xml:space="preserve">Circuito desechable para anestesia pediátrico con reservorio de 1 - 1.5 litro libre de latex. Longitud no menor a 1.5 metros </t>
  </si>
  <si>
    <t>Circuito desechable para anestesia adulto con reservorio de 3 litros libre de latex. Longitud no menor a 1.8 metros</t>
  </si>
  <si>
    <t>VENDAS  ALGODÓN</t>
  </si>
  <si>
    <t>Venda algodón laminado 4 x 5"</t>
  </si>
  <si>
    <t>Venda algodón laminado 6 x 5"</t>
  </si>
  <si>
    <t>VENTURY</t>
  </si>
  <si>
    <t>Sistema ventury adulto (máscara. manguera. dosificador. reserborio)</t>
  </si>
  <si>
    <t>Sistema ventury pediatrico (máscara. manguera. dosificador. reserborio.)</t>
  </si>
  <si>
    <t>MASCARAS NO REINHALACION</t>
  </si>
  <si>
    <t>Mascara de no reinhalación (pediátrica)</t>
  </si>
  <si>
    <t>Mascara de no reinhalación (adulto)</t>
  </si>
  <si>
    <t>SONDA OXIGENO</t>
  </si>
  <si>
    <t>Sonda oxígeno adulto (tipo gafita)</t>
  </si>
  <si>
    <t>Sonda oxígeno pediátrica (tipo gafita)</t>
  </si>
  <si>
    <t>Sonda oxígeno neonatal (tipo gafita)</t>
  </si>
  <si>
    <t>CANULAS DE GUEDEL</t>
  </si>
  <si>
    <t>Canula de guedel 0 (50 mm)</t>
  </si>
  <si>
    <t>Canula de guedel # 1 (60 mm)</t>
  </si>
  <si>
    <t>Canula de guedel # 2 (70 mm)</t>
  </si>
  <si>
    <t>Canula de guedel # 3 (80 mm)</t>
  </si>
  <si>
    <t>Canula de guedel # 4 (90 mm)</t>
  </si>
  <si>
    <t>Canula de guedel # 5 (100 mm)</t>
  </si>
  <si>
    <t>ESPECULOS</t>
  </si>
  <si>
    <t>Especulo vaginal desechable talla M</t>
  </si>
  <si>
    <t>Especulo vaginal desechable talla S</t>
  </si>
  <si>
    <t>Formol 30% x 500 c.c.</t>
  </si>
  <si>
    <t>Canula de guedel 00 (40 mm)</t>
  </si>
  <si>
    <t>Glicerina liquida x 500 cc</t>
  </si>
  <si>
    <t>Bolsa pediatrica recolectora de orina</t>
  </si>
  <si>
    <t>Brazalete integral madre e hijo, seriado con broche de seguridad</t>
  </si>
  <si>
    <t xml:space="preserve">Preservativo (Condón masculino de látex) </t>
  </si>
  <si>
    <t xml:space="preserve">Manguera corrugada 22 mm para camara hood cefalica </t>
  </si>
  <si>
    <t>Metro</t>
  </si>
  <si>
    <t>Nebulizador de alto volumen para camara hood cefalica</t>
  </si>
  <si>
    <t>Jalea para diagnostico ultrasonico x 250 ml sin alcohol</t>
  </si>
  <si>
    <t xml:space="preserve">Papel termosensible para impresión baja densidad x 20 mt. UPP 110 </t>
  </si>
  <si>
    <t>Glutaraldehido 2% solucion x 3870 c.c.</t>
  </si>
  <si>
    <t>Garrafa</t>
  </si>
  <si>
    <t>Bureta o buretrol x 150 ml</t>
  </si>
  <si>
    <t>Cinta de control externo para esterilizacion 15-18 mm x 50 mt</t>
  </si>
  <si>
    <t>Indicador químico multiparametro para vapor clase IV perforado en el medio x 250 tiras</t>
  </si>
  <si>
    <t>MICRONEBULIZADORES</t>
  </si>
  <si>
    <t>Micronebulizador adulto con mascarilla y manguera</t>
  </si>
  <si>
    <t>Micronebulizador niño con mascarilla y manguera</t>
  </si>
  <si>
    <t>Filtro antibacterial y viral intercambiador de humedad y calor (HMEF) con puerto P/capnógrafo</t>
  </si>
  <si>
    <t>Placa p/electrobisturi universal adulto tipo REM con cable y aro</t>
  </si>
  <si>
    <t>Cánula de Yankauer adulto desechable</t>
  </si>
  <si>
    <t>GUIAS DE ENTUBACION</t>
  </si>
  <si>
    <t>MASCARAS COLCHON DE AIRE</t>
  </si>
  <si>
    <t>Mascara con colchón de aire nro. 4 (adulto)</t>
  </si>
  <si>
    <t>Mascara con colchón de aire nro. 0 (neonatal)</t>
  </si>
  <si>
    <t>Mascara con colchón de aire nro.2 (pediatrico)</t>
  </si>
  <si>
    <t>Mascara con colchón de aire nro.1 (pediatrica)</t>
  </si>
  <si>
    <t>Levonorgestrel + etinilestradiol 0.15 mg+0.03 mg  grageas</t>
  </si>
  <si>
    <t>Caja x 21 gragea</t>
  </si>
  <si>
    <t>Medroxiprogesterona+Estradiol (25+5 mg) solución inyectable</t>
  </si>
  <si>
    <t xml:space="preserve">Dispositivo intrauterino - T de cobre ( dorada incluye aplicador) </t>
  </si>
  <si>
    <t>MALLAS</t>
  </si>
  <si>
    <t>Cateter + Aguja + Jeringa Nº 19 Set anestesia epidural</t>
  </si>
  <si>
    <t>Bajalenguas x 100 unidades.</t>
  </si>
  <si>
    <t>CAJA X 20 CAPSULAS</t>
  </si>
  <si>
    <t>CAJA X 100 TABLETAS</t>
  </si>
  <si>
    <t>CAJA X 300 TABLETAS</t>
  </si>
  <si>
    <t>CAJA X 900 TABLETAS</t>
  </si>
  <si>
    <t>CAJA X 10 TABLETAS</t>
  </si>
  <si>
    <t>CAJA X 300 CAPSULAS</t>
  </si>
  <si>
    <t>CAJA X 12 AMPOLLAS</t>
  </si>
  <si>
    <t>TUBO X 40 GRAMOS</t>
  </si>
  <si>
    <t>CAJA X 5 AMPOLLAS</t>
  </si>
  <si>
    <t>FRASCO X 80 ML</t>
  </si>
  <si>
    <t>FRASCO X 20 ML</t>
  </si>
  <si>
    <t>CAJA X 150 TABLETAS</t>
  </si>
  <si>
    <t>FRASCO X 15 ML</t>
  </si>
  <si>
    <t>CAJA X 500 TABLETAS</t>
  </si>
  <si>
    <t>CAJA X 200 TABLETAS</t>
  </si>
  <si>
    <t>FRASCO X 30 ML</t>
  </si>
  <si>
    <t>CAJA X 50 CAPSULAS</t>
  </si>
  <si>
    <t>FRASCO X 120 ML</t>
  </si>
  <si>
    <t>CAJA X 50 TABLETAS</t>
  </si>
  <si>
    <t>CAJA X 1 AMPOLLA</t>
  </si>
  <si>
    <t>CAJA X 100 AMPOLLAS</t>
  </si>
  <si>
    <t>CAJA X 10 CAPSULAS</t>
  </si>
  <si>
    <t>CAJA X 30 COMPRIMIDOS</t>
  </si>
  <si>
    <t>FRASCO X 60 ML</t>
  </si>
  <si>
    <t>FRASCO X 10 ML</t>
  </si>
  <si>
    <t>FRASCO X 5 ML</t>
  </si>
  <si>
    <t>TUBO X 20 GRAMOS</t>
  </si>
  <si>
    <t>CAJA X 240 TABLETAS</t>
  </si>
  <si>
    <t>CAJA X 10 VIALES</t>
  </si>
  <si>
    <t>POTE X 500 GRAMOS</t>
  </si>
  <si>
    <t>FRASCO X 100 ML</t>
  </si>
  <si>
    <t>CAJA X 280 TABLETAS</t>
  </si>
  <si>
    <t>CAJA X 28 TABLETAS</t>
  </si>
  <si>
    <t>FRASCO X 30 TABLETAS</t>
  </si>
  <si>
    <t>CAJA X 200 OVULO</t>
  </si>
  <si>
    <t>BOLSA X 133 ML</t>
  </si>
  <si>
    <t>CAJA X 10  AMPOLLAS</t>
  </si>
  <si>
    <t>FRASCO X 200 DOSIS</t>
  </si>
  <si>
    <t>CAJA X 70 TABLETAS</t>
  </si>
  <si>
    <t>CAJA X 50 VIALES</t>
  </si>
  <si>
    <t>CAJA X 250 TABLETAS</t>
  </si>
  <si>
    <t>TUBO X 5 GRAMOS</t>
  </si>
  <si>
    <t>CAJA X 30 TABLETAS</t>
  </si>
  <si>
    <t>CAJA X 2 TABLETAS</t>
  </si>
  <si>
    <t>POTE X 30 GRAMOS</t>
  </si>
  <si>
    <t>CAJA X 50 AMPOLLAS</t>
  </si>
  <si>
    <t>FRASCO X 70 ML</t>
  </si>
  <si>
    <t>CAJA  X 25 AMPOLLAS</t>
  </si>
  <si>
    <t>TUBO X 10 GRAMOS</t>
  </si>
  <si>
    <t>CAJA X 24 AMPOULEPACK X 10 ML</t>
  </si>
  <si>
    <t>CAJA X 2 JERINGAS PRELLENADAS</t>
  </si>
  <si>
    <t>CAJA X 1 VIAL X 10 ML</t>
  </si>
  <si>
    <t>CAJA X 200 CAPSULAS</t>
  </si>
  <si>
    <t>FRASCO X 20 TABLETAS</t>
  </si>
  <si>
    <t>CAJA X 2 VIALES</t>
  </si>
  <si>
    <t>AMP</t>
  </si>
  <si>
    <t>FCO</t>
  </si>
  <si>
    <t>VIAL</t>
  </si>
  <si>
    <t>TAB</t>
  </si>
  <si>
    <t>CAPS</t>
  </si>
  <si>
    <t>Paquete x 100 unidades</t>
  </si>
  <si>
    <t>CAJA POR 5 FRASCOS VIAL X 20 ML.</t>
  </si>
  <si>
    <t>COMP</t>
  </si>
  <si>
    <t>CAJA X 30</t>
  </si>
  <si>
    <t>LAT</t>
  </si>
  <si>
    <t>unidad</t>
  </si>
  <si>
    <t>CAJA X 12</t>
  </si>
  <si>
    <t xml:space="preserve">CAJA X 100 TABLETAS </t>
  </si>
  <si>
    <t>CAJA PLEGADIZA POR 10 UNIDADES FRASCO VIAL DE VIDRIO</t>
  </si>
  <si>
    <t xml:space="preserve">CAJA POR 30 CAPSULAS </t>
  </si>
  <si>
    <t xml:space="preserve">CAJA X 240 TABLETAS </t>
  </si>
  <si>
    <t xml:space="preserve">CAJA X 30 TABLETAS </t>
  </si>
  <si>
    <t>CAJA X 30 TABLETAS RECUBIERTAS</t>
  </si>
  <si>
    <t>CJAx50SBRx2UND</t>
  </si>
  <si>
    <t>CJAx6RLL</t>
  </si>
  <si>
    <t>CJAx100UND</t>
  </si>
  <si>
    <t>CJAx36UND</t>
  </si>
  <si>
    <t>BLSx500GR</t>
  </si>
  <si>
    <t>RLLx30MT</t>
  </si>
  <si>
    <t>UND</t>
  </si>
  <si>
    <t>PAQx50UND</t>
  </si>
  <si>
    <t>PAQx200HJA</t>
  </si>
  <si>
    <t>BLSx120ML</t>
  </si>
  <si>
    <t>CJAx25UND</t>
  </si>
  <si>
    <t>CJAx50UND</t>
  </si>
  <si>
    <t>CJAx12RLL</t>
  </si>
  <si>
    <t>BLSx850ML</t>
  </si>
  <si>
    <t>PAQx100UND</t>
  </si>
  <si>
    <t>CAJ X 50</t>
  </si>
  <si>
    <t>FX700</t>
  </si>
  <si>
    <t>CX100</t>
  </si>
  <si>
    <t>CX50</t>
  </si>
  <si>
    <t>CAJA X 50</t>
  </si>
  <si>
    <t>CAJA X 16</t>
  </si>
  <si>
    <t>CAJA X 10</t>
  </si>
  <si>
    <t>CAJA X 150</t>
  </si>
  <si>
    <t>Caja x 1 jeringa prellenada</t>
  </si>
  <si>
    <t>PAQUETE X 500</t>
  </si>
  <si>
    <t>paq x 50 und</t>
  </si>
  <si>
    <t>Caj x 50 und</t>
  </si>
  <si>
    <t>Frasco x 250 ml</t>
  </si>
  <si>
    <t>Garrafa x 3.78 Lts</t>
  </si>
  <si>
    <t xml:space="preserve">ROLLO </t>
  </si>
  <si>
    <t>Caja x 250 Tiras</t>
  </si>
  <si>
    <t xml:space="preserve">Unidad </t>
  </si>
  <si>
    <t>PAQUETE X UD</t>
  </si>
  <si>
    <t>CAJA X 20 UDS</t>
  </si>
  <si>
    <t>CAJA X 1 BLISTER X 21 TABLETAS</t>
  </si>
  <si>
    <t>SOBRE X UNIDAD</t>
  </si>
  <si>
    <t xml:space="preserve">CAJA X 50 TABLETAS                      </t>
  </si>
  <si>
    <t xml:space="preserve">CAJA X 40 TABLETAS                      </t>
  </si>
  <si>
    <t xml:space="preserve">AMPOLLA                                 </t>
  </si>
  <si>
    <t xml:space="preserve">CAJA X 30 CAPSULAS                      </t>
  </si>
  <si>
    <t xml:space="preserve">CAJA X 100 TABLETAS                     </t>
  </si>
  <si>
    <t xml:space="preserve">FRASCO X 360 ML                         </t>
  </si>
  <si>
    <t xml:space="preserve">FRASCO X 28 TABLETAS                    </t>
  </si>
  <si>
    <t xml:space="preserve">CAJA X 300 CAPSULAS                     </t>
  </si>
  <si>
    <t xml:space="preserve">CAJA X 300 TABLETAS                     </t>
  </si>
  <si>
    <t xml:space="preserve">UNIDAD                                  </t>
  </si>
  <si>
    <t xml:space="preserve">CAJA X 10 OVULOS                        </t>
  </si>
  <si>
    <t xml:space="preserve">CAJA X 30 TABLETAS                      </t>
  </si>
  <si>
    <t xml:space="preserve">CAJA X 10 AMPOLLA                       </t>
  </si>
  <si>
    <t xml:space="preserve">BOLSA                                   </t>
  </si>
  <si>
    <t>POTE                                    </t>
  </si>
  <si>
    <t>GRAMOS                                  </t>
  </si>
  <si>
    <t xml:space="preserve">CAJA X 50 UNIDADES                      </t>
  </si>
  <si>
    <t xml:space="preserve">AGUJA                                   </t>
  </si>
  <si>
    <t xml:space="preserve">CAJA X 50 JERINGAS                      </t>
  </si>
  <si>
    <t xml:space="preserve">SONDA                                   </t>
  </si>
  <si>
    <t xml:space="preserve">VENDA DE GASA                           </t>
  </si>
  <si>
    <t xml:space="preserve">CAJA                                    </t>
  </si>
  <si>
    <t>COLMED</t>
  </si>
  <si>
    <t>GENFAR</t>
  </si>
  <si>
    <t>MK</t>
  </si>
  <si>
    <t>COASPHARMA</t>
  </si>
  <si>
    <t>ECAR</t>
  </si>
  <si>
    <t>PAULY</t>
  </si>
  <si>
    <t>AMERICAN GENERICS</t>
  </si>
  <si>
    <t>BLASKOV</t>
  </si>
  <si>
    <t>LABINCO</t>
  </si>
  <si>
    <t>ACTIFARMA</t>
  </si>
  <si>
    <t>HUMAX PHARMACEUTICAL</t>
  </si>
  <si>
    <t>LABQUIFAR</t>
  </si>
  <si>
    <t>LAPROFF</t>
  </si>
  <si>
    <t>PROCAPS</t>
  </si>
  <si>
    <t>BIOQUIFAR</t>
  </si>
  <si>
    <t>FRESENIUS KABI</t>
  </si>
  <si>
    <t>NOVAMED</t>
  </si>
  <si>
    <t>RECIPE</t>
  </si>
  <si>
    <t>GLAXOSMITHKLINE</t>
  </si>
  <si>
    <t>TECNOQUIMICAS</t>
  </si>
  <si>
    <t>CHALVER</t>
  </si>
  <si>
    <t>SIEGFRIED</t>
  </si>
  <si>
    <t>DELTA</t>
  </si>
  <si>
    <t>LABORATORIOS SANICOL</t>
  </si>
  <si>
    <t>LASANTE</t>
  </si>
  <si>
    <t>BCN</t>
  </si>
  <si>
    <t>BUSSIE</t>
  </si>
  <si>
    <t>FARMIONNI</t>
  </si>
  <si>
    <t>BIOSANO</t>
  </si>
  <si>
    <t>MEMPHIS</t>
  </si>
  <si>
    <t>QUIFARMA</t>
  </si>
  <si>
    <t>CORPAUL</t>
  </si>
  <si>
    <t>ROPSOHN</t>
  </si>
  <si>
    <t>NOVONORDISK</t>
  </si>
  <si>
    <t>SANOFI</t>
  </si>
  <si>
    <t>PROBIOL</t>
  </si>
  <si>
    <t>VITALIS</t>
  </si>
  <si>
    <t>CEFTRIDELT®</t>
  </si>
  <si>
    <t>BUPIROP</t>
  </si>
  <si>
    <t>HUMAX</t>
  </si>
  <si>
    <t>LIDOPROCTO® SUPOSITORIOS</t>
  </si>
  <si>
    <t>LABORATORIOS BUSSIE S.A.</t>
  </si>
  <si>
    <t>LAFRANCOL</t>
  </si>
  <si>
    <t>ROXICAINA ®ATOMIZADOR</t>
  </si>
  <si>
    <t>BUPINEST</t>
  </si>
  <si>
    <t>NABUMEX</t>
  </si>
  <si>
    <t>RYAN</t>
  </si>
  <si>
    <t>LABORATORIOS LA SANTE S.A.</t>
  </si>
  <si>
    <t>KENNEDY</t>
  </si>
  <si>
    <t>FARMALOGICA S.A.</t>
  </si>
  <si>
    <t>LABORATORIOS DELTA S.A.</t>
  </si>
  <si>
    <t>CYHLAB</t>
  </si>
  <si>
    <t>FENILSONE</t>
  </si>
  <si>
    <t>GLAXOSMITHKLINE COLOMBIA S.A.</t>
  </si>
  <si>
    <t>BIOMEDICAL PHARMA S.A.S</t>
  </si>
  <si>
    <t>BAXTER</t>
  </si>
  <si>
    <t>SALUS PHARMA</t>
  </si>
  <si>
    <t>ASPROMIO® INHALADOR</t>
  </si>
  <si>
    <t>FEPARVI LTDA</t>
  </si>
  <si>
    <t>LABORATORIOS DELTA S.A.S.</t>
  </si>
  <si>
    <t>ESTERMAX</t>
  </si>
  <si>
    <t>SANDERSON</t>
  </si>
  <si>
    <t>PROCLIN</t>
  </si>
  <si>
    <t>FERROPROFF</t>
  </si>
  <si>
    <t>BLAU FARMACEUTICA S.A.S.</t>
  </si>
  <si>
    <t>LABORATORIO FRANCO COLOMBIANO LAFRANCOL S.A.S.</t>
  </si>
  <si>
    <t>AMPIDELT®</t>
  </si>
  <si>
    <t>GELOFUSINE</t>
  </si>
  <si>
    <t>FARMATECH S.A.</t>
  </si>
  <si>
    <t>FLUIMUCIL</t>
  </si>
  <si>
    <t>LICOL</t>
  </si>
  <si>
    <t>ROPSOHN THERAPEUTICS S.A.S</t>
  </si>
  <si>
    <t>ISOCORD ® SUBLINGUAL</t>
  </si>
  <si>
    <t>KALETRA</t>
  </si>
  <si>
    <t>KNOVEL</t>
  </si>
  <si>
    <t>KNOVEL PHARMA S.A.S.</t>
  </si>
  <si>
    <t>SALUS PHARMA LABS. S.A.S</t>
  </si>
  <si>
    <t>BRAUN</t>
  </si>
  <si>
    <t>AMERICAN GENERICS S.A.S.</t>
  </si>
  <si>
    <t>MSN LABORATORIES PRIVATE LTD.</t>
  </si>
  <si>
    <t>MYORITMO</t>
  </si>
  <si>
    <t>ASPEN LABS S.A. DE C.V. MEXICO</t>
  </si>
  <si>
    <t>NESTLE DE COLOMBIA S.A.</t>
  </si>
  <si>
    <t>DISPROMED</t>
  </si>
  <si>
    <t>LIFE CARE</t>
  </si>
  <si>
    <t>GLOBAL</t>
  </si>
  <si>
    <t>GYPSONA</t>
  </si>
  <si>
    <t>OPTIMAL QUALITY</t>
  </si>
  <si>
    <t>LABORATORIOS ECAR S.A</t>
  </si>
  <si>
    <t>LABORATORIO PROFESIONAL FARMACEUTICO LAPROFF S.A.</t>
  </si>
  <si>
    <t>VITALISS.A.C.I.</t>
  </si>
  <si>
    <t>ACTIFARMA S.A.</t>
  </si>
  <si>
    <t>LABORATORIOS LA SANTÉ S.A.</t>
  </si>
  <si>
    <t>LABORATORIOS ECAR SA</t>
  </si>
  <si>
    <t>FARMALOGICA S.A</t>
  </si>
  <si>
    <t>WINTHROP PHARMACEUTICALS DE COLOMBIA S.A.</t>
  </si>
  <si>
    <t>VITALIS S.A.C.I</t>
  </si>
  <si>
    <t>ADS PHARMA S.A.S</t>
  </si>
  <si>
    <t>VITALIS S.A. C.I.</t>
  </si>
  <si>
    <t>COLMED LTDA</t>
  </si>
  <si>
    <t>LABQUIFAR LTDA.</t>
  </si>
  <si>
    <t>OTSUKA PHARMACEUTICAL INDIA PRIVATE LIMITED</t>
  </si>
  <si>
    <t xml:space="preserve">VITALIS S.A.C.I. </t>
  </si>
  <si>
    <t>HUMAX PHARMACEUTICAL S.A.</t>
  </si>
  <si>
    <t>ASTRAZENECA COLOMBIA S.A.S</t>
  </si>
  <si>
    <t>PROCAPS S.A.</t>
  </si>
  <si>
    <t>PROCAPS S.A</t>
  </si>
  <si>
    <t>SANOFI-AVENTIS DE COLOMBIA S.A.</t>
  </si>
  <si>
    <t>JANSSEN CILAG S.A.</t>
  </si>
  <si>
    <t>ELI LILLY AND COMPANY</t>
  </si>
  <si>
    <t>GENFAR S.A.</t>
  </si>
  <si>
    <t>SANDOZ GMBH</t>
  </si>
  <si>
    <t>LABORATORIO LAFRANCOL S.A.S</t>
  </si>
  <si>
    <t>ALFA SAFE</t>
  </si>
  <si>
    <t>3M</t>
  </si>
  <si>
    <t>IMPULMEDICOS</t>
  </si>
  <si>
    <t>B.BRAUN</t>
  </si>
  <si>
    <t>HIGIETEX</t>
  </si>
  <si>
    <t>UNISTO</t>
  </si>
  <si>
    <t>WEST</t>
  </si>
  <si>
    <t>RYMCO</t>
  </si>
  <si>
    <t>PARAMOUNT</t>
  </si>
  <si>
    <t>CEPILAB</t>
  </si>
  <si>
    <t>NIPRO</t>
  </si>
  <si>
    <t>LABORATORIOS ALCON D</t>
  </si>
  <si>
    <t>LIFE CARE SOLUTIONS S.A.S.</t>
  </si>
  <si>
    <t>ACTIFARMA SA</t>
  </si>
  <si>
    <t>TECNOQUIMICAS INS</t>
  </si>
  <si>
    <t>VITALIS INS</t>
  </si>
  <si>
    <t>LABORATORIO LA SANTE</t>
  </si>
  <si>
    <t>FARMALOGICA S.A INS</t>
  </si>
  <si>
    <t>SALUS PHARMA LABS SA</t>
  </si>
  <si>
    <t>NEXT PHARMA SOURCING</t>
  </si>
  <si>
    <t>LABORATORIOS ECAR IN</t>
  </si>
  <si>
    <t>LABQUIFAR LTDA</t>
  </si>
  <si>
    <t>BIOQUIFAR PHARMACEUT</t>
  </si>
  <si>
    <t>MEDICAL CARE WELL S.A.S.</t>
  </si>
  <si>
    <t>MEDICAL SUPPLIES CORP SAS</t>
  </si>
  <si>
    <t>RYMCO MEDICAL SAS</t>
  </si>
  <si>
    <t>MEDITEC S.A.</t>
  </si>
  <si>
    <t>SALBUTAMOL 100 MCG BIOSYNTEC</t>
  </si>
  <si>
    <t>PROCATEC</t>
  </si>
  <si>
    <t>BECLOMETASONA 50 MCG NASAL BIOSYNTEC</t>
  </si>
  <si>
    <t>NEOLYTE</t>
  </si>
  <si>
    <t>BAXALTA</t>
  </si>
  <si>
    <t>LM</t>
  </si>
  <si>
    <t>BSN</t>
  </si>
  <si>
    <t>FRESENIUS</t>
  </si>
  <si>
    <t>SOLUCARE</t>
  </si>
  <si>
    <t>OPTIMUM MEDICAL</t>
  </si>
  <si>
    <t>FERBIN</t>
  </si>
  <si>
    <t>RHOPHYLAC</t>
  </si>
  <si>
    <t>OSS</t>
  </si>
  <si>
    <t>BIOLIFE / BIOPLAST</t>
  </si>
  <si>
    <t>GOLDEN CARE</t>
  </si>
  <si>
    <t>QUIMIBEN</t>
  </si>
  <si>
    <t>INNO</t>
  </si>
  <si>
    <t>ACCUCHART</t>
  </si>
  <si>
    <t>BIOGEL</t>
  </si>
  <si>
    <t xml:space="preserve">EUFAR </t>
  </si>
  <si>
    <t xml:space="preserve">Gothaplast </t>
  </si>
  <si>
    <t xml:space="preserve">STERIS </t>
  </si>
  <si>
    <t>PROFAMILIA</t>
  </si>
  <si>
    <t>BD</t>
  </si>
  <si>
    <t>ALFASAFE</t>
  </si>
  <si>
    <t>FAREVA AMBOISE / PFIZER S.A.S.</t>
  </si>
  <si>
    <t>NOVAMED S.A.</t>
  </si>
  <si>
    <t>LABORATORIOS BUSSIÉ S.A.</t>
  </si>
  <si>
    <t>TECNOFAR TQ S.A.S</t>
  </si>
  <si>
    <t>TECNOQUIMICAS S.A.</t>
  </si>
  <si>
    <t>FARMACOL CHINOIN S.A.S.,</t>
  </si>
  <si>
    <t>PHARMAYECT S.A. / COLMED LTDA</t>
  </si>
  <si>
    <t>TECNOQUIMICAS S.A</t>
  </si>
  <si>
    <t>OPHARM LTDA. / ARBOFARMA S.A.S. / LABORATORIOS EXPOFARMA S.A.</t>
  </si>
  <si>
    <t>ARBOFARMA S.A. / PROCLIN PHARMA S.A</t>
  </si>
  <si>
    <t>PROCAPS S.A. / COLMED LTDA</t>
  </si>
  <si>
    <t>LABORATORIO BIOSANO S.A.</t>
  </si>
  <si>
    <t>GENBIE</t>
  </si>
  <si>
    <t>SANOFI-AVENTIS DE MEXICO S.A DE C.A</t>
  </si>
  <si>
    <t>FEPARVI LTDA.</t>
  </si>
  <si>
    <t>ROPSOHN LABORATORIOS LTDA.</t>
  </si>
  <si>
    <t>ARBOFARMA S.A. / ACTIFARMA S.A.</t>
  </si>
  <si>
    <t>LABORATORIOS PFIZER LTDA / LABORATORIOS WYETH INC.</t>
  </si>
  <si>
    <t>STRENUSS</t>
  </si>
  <si>
    <t>PFIZER S.A.S.</t>
  </si>
  <si>
    <t>SANOFI - AVENTIS DE COLOMBIA S.A / GENFAR S.A. / WINTHROP PHARMACEUTICALS DE COLOMBIA S.A.</t>
  </si>
  <si>
    <t>LABORATORIOS SIEGFRIED S.A.S.</t>
  </si>
  <si>
    <t>LABORATORIOS SIEGFRIED S.A.</t>
  </si>
  <si>
    <t>LABORATORIOS SIEGFRIED S.A.S</t>
  </si>
  <si>
    <t>PROTOKIMICA</t>
  </si>
  <si>
    <t>LABORATORIOS ATHOS.</t>
  </si>
  <si>
    <t>ATHOS</t>
  </si>
  <si>
    <t>VENUS REMEDIES LIMITED</t>
  </si>
  <si>
    <t>PROCAPS S.A. / RYMCO S.A</t>
  </si>
  <si>
    <t>NIPRO MEDICAL CORPORATION</t>
  </si>
  <si>
    <t>QUIRURGICOS LTDA.</t>
  </si>
  <si>
    <t>QUIRURGICOS LTDA. / BIOPLAST.</t>
  </si>
  <si>
    <t>SHERLEG LABORATORIES S.A.S.</t>
  </si>
  <si>
    <t>KRAMER</t>
  </si>
  <si>
    <t>RYD INDUSTRIAL LTD</t>
  </si>
  <si>
    <t>MEDGUARD PROFFESIONAL HEALTHCARE.</t>
  </si>
  <si>
    <t>MARCA OFERTADA 1</t>
  </si>
  <si>
    <t>MARCA OFERTADA 2</t>
  </si>
  <si>
    <t>MARCA OFERTADA 3</t>
  </si>
  <si>
    <t>LABORATORIO FABRICANTE  OFERTADO 2</t>
  </si>
  <si>
    <t>LABORATORIO FABRICANTE  OFERTADO 3</t>
  </si>
  <si>
    <t>PAÍS 2</t>
  </si>
  <si>
    <t>PAÍS 3</t>
  </si>
  <si>
    <t>REGISTRO SANITARIO Nro. 2</t>
  </si>
  <si>
    <t>REGISTRO SANITARIO Nro. 3</t>
  </si>
  <si>
    <t>VENCIMIENTO REGISTRO SANITARIO (dd/mm/aaaa) 2</t>
  </si>
  <si>
    <t>VENCIMIENTO REGISTRO SANITARIO (dd/mm/aaaa) 3</t>
  </si>
  <si>
    <t>CODIGO CUM (sin digito de verificación) 2</t>
  </si>
  <si>
    <t>CODIGO CUM (sin digito de verificación) 3</t>
  </si>
  <si>
    <t>DÍGITO VERIFICACIÓN CUM 2</t>
  </si>
  <si>
    <t>DÍGITO VERIFICACIÓN CUM 3</t>
  </si>
  <si>
    <t>CLASIFICACION DEL RIESGO 2</t>
  </si>
  <si>
    <t>CLASIFICACION DEL RIESGO 3</t>
  </si>
  <si>
    <t>Fenitoina 100 mg tableta. Epamin</t>
  </si>
  <si>
    <t>Ácido folico 1 mg tableta</t>
  </si>
  <si>
    <t>Difenhidramina 50 mg capsula</t>
  </si>
  <si>
    <t>Capsula</t>
  </si>
  <si>
    <t xml:space="preserve">Cefradina 500 mg cápsula </t>
  </si>
  <si>
    <t>Fluconazol 150 mg capsula</t>
  </si>
  <si>
    <t>Fluconazol 50 mg/5 c.c suspension x 20c.c</t>
  </si>
  <si>
    <t>Amlodipino 10 mg tableta</t>
  </si>
  <si>
    <t>Amiodarona 50mg/cc solucion inyectable x 3 ml AMPOLLA</t>
  </si>
  <si>
    <t>Amiodarona 200 mg TABLETA</t>
  </si>
  <si>
    <t>Adenosina 6 mg/2 c.c. solucion inyectable AMPOLLA</t>
  </si>
  <si>
    <t xml:space="preserve">Hidroclorotiazida 50 mg tableta </t>
  </si>
  <si>
    <t xml:space="preserve">Omeprazol 40 mg capsula </t>
  </si>
  <si>
    <t>Metformina clorhidrato 500 mg tableta</t>
  </si>
  <si>
    <t xml:space="preserve">Metformina clorhidrato 1000 mg tableta </t>
  </si>
  <si>
    <t>Atorvastatina 40 mg tableta</t>
  </si>
  <si>
    <t xml:space="preserve">Gemfibrozil 900 mg tableta </t>
  </si>
  <si>
    <t>Calcio citrato 1500  + vitamina d3 (315 mg + 200 ui)tableta TABLETA</t>
  </si>
  <si>
    <t xml:space="preserve">Calcio  + vitamina d3 (600 mg + 400 ui)tableta </t>
  </si>
  <si>
    <t>Calcio carbonato 1500 mg (600 MG C.E.)</t>
  </si>
  <si>
    <t>Dexametasona fosfato 4 mg/1 ml Solucion inyectable</t>
  </si>
  <si>
    <t>Ibuprofeno 800 mg tableta</t>
  </si>
  <si>
    <t>Naproxeno 500 mg tableta</t>
  </si>
  <si>
    <t>Nistatina 100.000 u.i./gm crema topica x 30 gm TUBO</t>
  </si>
  <si>
    <t>Betametasona dipropionato 0.05% crema x 40 gm</t>
  </si>
  <si>
    <t>Retinoico acido 0.05% locion x 60 ml</t>
  </si>
  <si>
    <t>Norepinefrina 4mg/4ml solucion inyectable AMPOLLA</t>
  </si>
  <si>
    <t>Oxicodona 10 mg Liberación controlada TABLETA</t>
  </si>
  <si>
    <t>Oxicodona 20 mg Liberación controlada TABLETA</t>
  </si>
  <si>
    <t>Oxicodona 40 mg Liberación controlada TABLETA</t>
  </si>
  <si>
    <t>Oxcarbazapina 6% *100 ml suspensión oral FRASCO</t>
  </si>
  <si>
    <t>Valproico acido 100mg/ml solución inyectable  x 5 ml Vial</t>
  </si>
  <si>
    <t xml:space="preserve">Oxcarbazepina 300 mg tableta </t>
  </si>
  <si>
    <t>Oxcarbazazepina 600 mg Tableta</t>
  </si>
  <si>
    <t>Sulfato ferroso anhidro 200 mg tableta</t>
  </si>
  <si>
    <t>Acido folico 5 mg tableta</t>
  </si>
  <si>
    <t>Warfarina sodica 5 mg tableta MK TABLETA</t>
  </si>
  <si>
    <t>Vitamina K1 10 mg x 1 ml AMPOLLA</t>
  </si>
  <si>
    <t>Acyclovir 400 mg tableta</t>
  </si>
  <si>
    <t>Acyclovir 800 mg tableta</t>
  </si>
  <si>
    <t>Equipo para irrigacion urinaria en Y de 2 vías Baxter UNIDAD</t>
  </si>
  <si>
    <t>Jeringa desechable 2 c.c. Ag. 21g x 1 1/2 p. UNIDAD</t>
  </si>
  <si>
    <t>Jeringa desechable 5 c.c. Ag  21g x 1 1/2 p. UNIDAD</t>
  </si>
  <si>
    <t>ALCOHOL 70% GEL ANTIBACTERIAL SOLUCIÓN, BOLSA PARA DISPENSADOR X 850 ML  Marca Electro west</t>
  </si>
  <si>
    <t>Ortoftalaldehido 0.55% desinfectante de alto nivel x 3780 c GARRAFA</t>
  </si>
  <si>
    <t>Resucitador desechable adulto UNIDAD</t>
  </si>
  <si>
    <t>Resucitador desechable pediatrico UNIDAD</t>
  </si>
  <si>
    <t>Levotiroxina sodica 25 mcg tableta Marca Merk</t>
  </si>
  <si>
    <t>Levotiroxina sodica 75 mcg. Tableta Marca Merk</t>
  </si>
  <si>
    <t>Levotiroxina sodica 88 mcg. Tableta Marca Merk</t>
  </si>
  <si>
    <t>Levotiroxina sodica 112 mcg .Tableta Marca Merk</t>
  </si>
  <si>
    <t>Levotiroxina sodica 125 mcg .Tableta Marca Merk</t>
  </si>
  <si>
    <t>Levotiroxina sodica 137 mcg .Tableta Marca Merk</t>
  </si>
  <si>
    <t>Frasco x 100 ml</t>
  </si>
  <si>
    <t>Malla de prolipopileno baja densidad 6*11 cm, δ no mayor a 50gr/mt2 y tamaño de poro mayor a 2.400 µ marca winner</t>
  </si>
  <si>
    <t>Malla de polipropileno, sin recubrimiento, sin cierre de 30 x 30 cmδ no mayor a 82gr/mt2 y tamaño de poro mayor a 560 µ marca winner</t>
  </si>
  <si>
    <t>Garrafa x 3780 cc</t>
  </si>
  <si>
    <t>Amoxicilina 875 mg tableta</t>
  </si>
  <si>
    <t>Gentamicina 0.1% crema tópica * 40 gr</t>
  </si>
  <si>
    <t>Penicilina fenoximetilica 250mg/5cc suspension oral x 100 ml</t>
  </si>
  <si>
    <t>Trimetoprim sulfa 80mg+400mg/5cc suspension x 60 ml</t>
  </si>
  <si>
    <t>Trimetoprim sulfa (80 +400) mg tableta</t>
  </si>
  <si>
    <t>Fluconazol 200 mg/100 c.c suspension x 20c.c</t>
  </si>
  <si>
    <t>Dopamina 40 mg/c.c. Solucion inyectable x 5 c.c.</t>
  </si>
  <si>
    <t>Calcio 315 mg  + vitamina d3 800 ui tableta</t>
  </si>
  <si>
    <t>Calcio carbonato 1250mg + vitamina d3 330 UItableta</t>
  </si>
  <si>
    <t>Levotiroxina sodica 62 mcg Marca Merk</t>
  </si>
  <si>
    <t>Levotiroxina sodica 150 mcg. Tableta Marca Merk</t>
  </si>
  <si>
    <t>Levotiroxina sodica 175 mcg. Tableta Marca Merk</t>
  </si>
  <si>
    <t>Levotiroxina sodica 200 mcg. Tableta Marca Merk</t>
  </si>
  <si>
    <t>Glicina soluc al 1.5% en agua destil. p/irrigación * 3000 cc</t>
  </si>
  <si>
    <t>Nitrofurazona  0.2 g / 100 g tubo x 40 gramos</t>
  </si>
  <si>
    <t>Plata sulfadiazina 1% crema x 60 gm</t>
  </si>
  <si>
    <t>Aminofilina 2.4% solucion inyectable x 10 c.c.</t>
  </si>
  <si>
    <t>Teofilina 125 mg capsula</t>
  </si>
  <si>
    <t>Raltegravir 25 mg tabletas masticables</t>
  </si>
  <si>
    <t>Raltegravir 100 mg tabletas</t>
  </si>
  <si>
    <t>Raltegravir 400 mg tabletas</t>
  </si>
  <si>
    <t>Bolsa pediátrica recolectora de orina x 500 c.c. Con soporte</t>
  </si>
  <si>
    <t>Cateter ven. Perif. 24g x 9/16 p. Poliuretano neonatal</t>
  </si>
  <si>
    <t>Cateter umbilical nro 3.5 Fr x 40 cm</t>
  </si>
  <si>
    <t>Guante desechable ambidiestro de vinilo talla s</t>
  </si>
  <si>
    <t>Guante desechable ambidiestro de vinilo talla m</t>
  </si>
  <si>
    <t>Guante desechable ambidiestro de vinilo talla l</t>
  </si>
  <si>
    <t>Guante desechable latex talla s</t>
  </si>
  <si>
    <t>Guante desechable latex talla m</t>
  </si>
  <si>
    <t>Guante desechable latex talla l</t>
  </si>
  <si>
    <t>Guante desechable latex talla xs</t>
  </si>
  <si>
    <t>GUANTES DE VINILO</t>
  </si>
  <si>
    <t>GUANTES DESECHABLES</t>
  </si>
  <si>
    <t>Aire rees desec.balon cap.0.5 lt. válvula. Manguera corrugada MARCA MEDICAL CARE WELL)</t>
  </si>
  <si>
    <t>Malla sling para incontinencia femenina multipropósito</t>
  </si>
  <si>
    <t>Alcohol impotable (industrial) 95? X 750 c.c.</t>
  </si>
  <si>
    <t>Detergente enzimatico (enzima proteasa) x 3.75 litros</t>
  </si>
  <si>
    <t>garrafa</t>
  </si>
  <si>
    <t>Detergente enzimatico (enzima proteasa) x 1 litro</t>
  </si>
  <si>
    <t>frasco</t>
  </si>
  <si>
    <t>Insulina glargina 100 ui/cc sln.iny. x 3ml  PLUMA</t>
  </si>
  <si>
    <t>Pluma</t>
  </si>
  <si>
    <t>Insulina glulisina 100 ui/cc sln.iny. x 3ml    PLUMA</t>
  </si>
  <si>
    <t>Levonorgestrel 75 mg implantes subdermico + Trocar desechable (SINOIMPLANT)</t>
  </si>
  <si>
    <t>Tintura Benjui x 500 ml FRASCO</t>
  </si>
  <si>
    <t>Termometro digital UNIDAD</t>
  </si>
  <si>
    <t>Papel e.c.g termosensible en rollo 210 x 20 mm  (Comen CM-1200) ROLLO</t>
  </si>
  <si>
    <t>LIFE CARE, EXOVAC</t>
  </si>
  <si>
    <t>SALUS PHARMA LABS. S.A.S , (OPHALAC)</t>
  </si>
  <si>
    <t>LASANTE, LA FRANCOL , GENFAR</t>
  </si>
  <si>
    <t xml:space="preserve">CAJA HASTA X 300 CAP                 </t>
  </si>
  <si>
    <t>BCN MEDICAL S.A / BIOSYNTEC S.A.,  LA SANTE, GENFAR</t>
  </si>
  <si>
    <t>EUROFARMA, NEOGRAM</t>
  </si>
  <si>
    <t>CAJA HASTA X 90 TABLETAS</t>
  </si>
  <si>
    <t>RECIPE, BUSSIE, GENFAR</t>
  </si>
  <si>
    <t>CAJA X 10 AMP</t>
  </si>
  <si>
    <t>CAJA HASTA X 50 VIALES</t>
  </si>
  <si>
    <t>LASANTE , OPHALAC</t>
  </si>
  <si>
    <t>GENFAR, ANGLOPHARMA S.A.</t>
  </si>
  <si>
    <t xml:space="preserve">CAJA HASTA X 250 CAP                 </t>
  </si>
  <si>
    <t xml:space="preserve"> CAJA X 10 AMPOLLAS</t>
  </si>
  <si>
    <t>GENTACREM</t>
  </si>
  <si>
    <t>BIOSELECT S.A.C.I.. , FARMALOGICA, NOSTRAY</t>
  </si>
  <si>
    <t>TUBO X 40 GR</t>
  </si>
  <si>
    <t>VICAR, FARMALOGICA, VITALIS</t>
  </si>
  <si>
    <t>AMPOLLA</t>
  </si>
  <si>
    <t xml:space="preserve">Claritromicina 500 mg tableta recubierta </t>
  </si>
  <si>
    <t>Eritromicina etilsuccinato o estearato 500 mg tableta recubierta</t>
  </si>
  <si>
    <t>DELTA, FARMALOGICA, VITALIS</t>
  </si>
  <si>
    <t>CAJA HASTA X 300 TABLETAS</t>
  </si>
  <si>
    <t>CAJA HASTA X 100 AMPOLLAS</t>
  </si>
  <si>
    <t>CAJA X 10 AMPOLLAS</t>
  </si>
  <si>
    <t>CAJA X 60 CAP</t>
  </si>
  <si>
    <t>Azitromicina 500 mg tableta recubierta</t>
  </si>
  <si>
    <t>LABINCO, EXPIREX</t>
  </si>
  <si>
    <t>TAVON, BATEN</t>
  </si>
  <si>
    <t>CAJA X 125 CAPSULAS</t>
  </si>
  <si>
    <t>SALUSPHARMA S.A.S</t>
  </si>
  <si>
    <t>BOLSA X 100 ML</t>
  </si>
  <si>
    <t>CAJA X 640 TABLETAS</t>
  </si>
  <si>
    <t>FRASCO O SACHET X 20 ML</t>
  </si>
  <si>
    <t>Cloroquina 150 mg tableta</t>
  </si>
  <si>
    <t>CAJA X 20 TABLETAS</t>
  </si>
  <si>
    <t>CAJA  X 300 TABLETAS</t>
  </si>
  <si>
    <t xml:space="preserve">CAJA X 10 CAPSULA                   </t>
  </si>
  <si>
    <t>CAJA X 25 AMPOLLAS</t>
  </si>
  <si>
    <t xml:space="preserve">CAJA X 50 TABLETAS </t>
  </si>
  <si>
    <t xml:space="preserve">CAJA X 10 TABLETAS </t>
  </si>
  <si>
    <t xml:space="preserve">CAJA X 500 TABLETAS </t>
  </si>
  <si>
    <t>Losartan 50 mg tableta recubierta</t>
  </si>
  <si>
    <t>Losartan 100 mg tableta recubierta</t>
  </si>
  <si>
    <t xml:space="preserve">DUOBLOQ </t>
  </si>
  <si>
    <t>CAJA X 10 SUP</t>
  </si>
  <si>
    <t xml:space="preserve">CAJA X 250 TABLETAS                     </t>
  </si>
  <si>
    <t xml:space="preserve">CAJA X 240 CAPSULAS                     </t>
  </si>
  <si>
    <t>ORAZOLE</t>
  </si>
  <si>
    <t>GLIFORMIN, G-MET G-TAB</t>
  </si>
  <si>
    <t>CAJA X 40 TABLETAS</t>
  </si>
  <si>
    <t>CITRAGEL, CAPRIMIDA</t>
  </si>
  <si>
    <t>CAJA X 90 TABLETAS</t>
  </si>
  <si>
    <t>OSTEOCAL D</t>
  </si>
  <si>
    <t>CALTRATE 600+D</t>
  </si>
  <si>
    <t>CAJA X 60 TABLETAS</t>
  </si>
  <si>
    <t>ZIVICAL</t>
  </si>
  <si>
    <t>CAJA X 100 AMPOLLA</t>
  </si>
  <si>
    <t>CAJA X 10 AMPOLLA</t>
  </si>
  <si>
    <t>CAJA X 2 IMP</t>
  </si>
  <si>
    <t>CORPAUL, BAXTER</t>
  </si>
  <si>
    <t>CAJA X 6 BOLSAS</t>
  </si>
  <si>
    <t>DURAFLEX FORTE</t>
  </si>
  <si>
    <t>AG PHARMACEUTICAL , MIOACTINE</t>
  </si>
  <si>
    <t>NOVARTIS PHARMA AG, METHERGIN</t>
  </si>
  <si>
    <t>LABORATORIOS SANDERSON S.A., FRESENIUS</t>
  </si>
  <si>
    <t>FRASCO X 15ML</t>
  </si>
  <si>
    <t>Gentamicina 0.3% solución oftalmica x 6 ml.</t>
  </si>
  <si>
    <t>FRASCO X 6 ML</t>
  </si>
  <si>
    <t>Cromoglicato de sodio 4% solucion nasal x 10 ml.</t>
  </si>
  <si>
    <t>TUBO X 30 GRAMOS</t>
  </si>
  <si>
    <t>FRASCO X 83 ML</t>
  </si>
  <si>
    <t>Lidocaina 10% solución spray x 83 ml</t>
  </si>
  <si>
    <t>TUBO X 60 GRAMOS</t>
  </si>
  <si>
    <t>TUBO X 15 GRAMOS</t>
  </si>
  <si>
    <t>FRASCO X 100-120 ML</t>
  </si>
  <si>
    <t>CAJA X 60 CAPSULAS</t>
  </si>
  <si>
    <t>FRASCO X 250 ML</t>
  </si>
  <si>
    <t>Sevofluorano sustancia pura solución para inhalación x 250 ml. Mc Baxter, Sevorane</t>
  </si>
  <si>
    <t>BUPIROP SIMPLE</t>
  </si>
  <si>
    <t>Lidocaina 2% solucion inyectable x 50 c.c.</t>
  </si>
  <si>
    <t>FRASCO X 50 ML</t>
  </si>
  <si>
    <t>Fenitoina 250 mg. Solución inyectable x 5 ml. Epamin</t>
  </si>
  <si>
    <t xml:space="preserve"> CAJA POR 40 AMPOULE PACK POR 10 ML.</t>
  </si>
  <si>
    <t xml:space="preserve">Valproico ácido 250 mg/5 c.c. jarabe x 120 ml. Marca Chalver,Depakene
</t>
  </si>
  <si>
    <t>CAJA  X 30 TABLETAS</t>
  </si>
  <si>
    <t>BOLSA  X 600 TABLETAS</t>
  </si>
  <si>
    <t xml:space="preserve">CAJA X 25 AMPOLLA                        </t>
  </si>
  <si>
    <t xml:space="preserve">FRASCO x 30 ML                                  </t>
  </si>
  <si>
    <t xml:space="preserve">CAJA X 300  TABLETAS                      </t>
  </si>
  <si>
    <t>CAJA X 30 CAPSULAS</t>
  </si>
  <si>
    <t xml:space="preserve">CAJA x 10 AMPOLLAS </t>
  </si>
  <si>
    <t xml:space="preserve">CAJA X 600 TABLETAS </t>
  </si>
  <si>
    <t>Warfarina sódica 5 mg tableta. Marca Saluspharma</t>
  </si>
  <si>
    <t>FRASCO X 500 ML</t>
  </si>
  <si>
    <t>Pasta de cacahuete leche y azucar sobre x 92 gr ( PLUMPYNUT)</t>
  </si>
  <si>
    <t xml:space="preserve">Sobre </t>
  </si>
  <si>
    <t>CAJA X 150 SOBRES</t>
  </si>
  <si>
    <t>CAJA X 50 SOBRES</t>
  </si>
  <si>
    <t>FRASCO X 240 ML</t>
  </si>
  <si>
    <t>FRASCO X 160 ML</t>
  </si>
  <si>
    <t>Abacavir 300 mg tableta</t>
  </si>
  <si>
    <t>Atazanavir 300 mg  Tableta</t>
  </si>
  <si>
    <t>CAJA X 100 TABLETA</t>
  </si>
  <si>
    <t>Aguja punción (vía) intra ósea 18g x 3,58 cms UNIDAD</t>
  </si>
  <si>
    <t>Aguja punción (vía) intra ósea 14g x 3 cms UNIDAD</t>
  </si>
  <si>
    <t>Aguja punción (vía) intra ósea 16g x 3 cms UNIDAD</t>
  </si>
  <si>
    <t>Equipo venoclisis - macrogotero s/a con puerto en Y y filtro en camara, luer lock,  longitud no menor a 1.70 cm. Marca Baxter, Rymco, Alfa Safe, Global Healthcare, plexitron</t>
  </si>
  <si>
    <t xml:space="preserve">Equipo venoclisis - microgotero s/a con puerto en Y y filtro en camara, luer lock, longitud no menor a 1.70 cm. Marca Baxter, Rymco, Alfa Safe, Global Healthcare, Supreme, </t>
  </si>
  <si>
    <t>MEDITEC S.A..  SHERLEG</t>
  </si>
  <si>
    <t>QUIRURGICOS LTDA. ,BIOPLAST</t>
  </si>
  <si>
    <t>Sonda foley nro. 8 (s.vesical)</t>
  </si>
  <si>
    <t>Sonda foley 3 vías (s. vesical ) nro. 20 MARCA GOLDEN CARE</t>
  </si>
  <si>
    <t>Glucometro para usuario final  g30 Glucoquick</t>
  </si>
  <si>
    <t>Tira reactiva sangre para usuario final  x 50 unid Glucoquick</t>
  </si>
  <si>
    <t>Mascara laringea desechable nro. 1.0 UNIDAD</t>
  </si>
  <si>
    <t>Mascara laringea desechable nro. 1.5 UNIDAD</t>
  </si>
  <si>
    <t>Mascara laringea desechable nro. 2.0 UNIDAD</t>
  </si>
  <si>
    <t>Mascara laringea desechable nro. 5.0 UNIDAD</t>
  </si>
  <si>
    <t>RP MEDICAS</t>
  </si>
  <si>
    <t>Traje antichoque No Neumático UNIDAD</t>
  </si>
  <si>
    <t>STERICLIN , GLOBAL ROLL</t>
  </si>
  <si>
    <t>BIOLIFE / BIOPLAST, INCARMED</t>
  </si>
  <si>
    <t>Electrodo desfibrilación adulto para DEA desechable CU-HD1 UNIDAD</t>
  </si>
  <si>
    <t>Electrodo desfibrilación adulto para DEA desechable Mindray UNIDAD</t>
  </si>
  <si>
    <t>Electrodo desfibrilacion  adulto para DEA desechable  TEC-5531E UNIDAD</t>
  </si>
  <si>
    <t>Electrodo desfibrilacion adulto para DEA desechable ZOLL UNIDAD</t>
  </si>
  <si>
    <t>Electrodo desfibrilacion pediatrico para DEA desechable  TEC-5531E</t>
  </si>
  <si>
    <t>CAJA X 30 METROS</t>
  </si>
  <si>
    <t>CIDEX OPA</t>
  </si>
  <si>
    <t>Llave de  3 vías</t>
  </si>
  <si>
    <t>Papel e.c.g termosensible de 110 mm x 27 mt ( PHILIPS REFERENCIA PAGE WRITER TC 10)</t>
  </si>
  <si>
    <t>Papel e.c.g termosensible en rollo.80 x 20 mm  (Edan SE-30) ROLLO</t>
  </si>
  <si>
    <t>Papel térmico en z. 80*70 mm * 20 mt. Ecg schiller at-101 PAQUETE</t>
  </si>
  <si>
    <t>Papel desfibrilador 50 mm* 100 mm ref A226 nihon kohden UNIDAD</t>
  </si>
  <si>
    <t>Papel desfibrilador 58 mm* 9 mt ref CU medical HD1 UNIDAD</t>
  </si>
  <si>
    <t>Papel desfibrilador 50 mm x 20 mt, ref A128 nihon kohden ROLLO</t>
  </si>
  <si>
    <t>Papel desfibrilador en rollo 80 mm x 20 mt (Comen S8)</t>
  </si>
  <si>
    <t>Papel e.c.g. termosensible en z 114 mm x 250 hojas W.A CP50 CAJA</t>
  </si>
  <si>
    <t>Papel monitor fetal 152 mm x 90 mm. Analogic (fetal gard) UNIDAD</t>
  </si>
  <si>
    <t>Recipiente de succion (liner) flexible de 1000ml con solidificante UNIDAD</t>
  </si>
  <si>
    <t>Recipiente de succion (canister) rígido de 1000ml UNIDAD</t>
  </si>
  <si>
    <t>Electrodo desechable pediatrico UNIDAD</t>
  </si>
  <si>
    <t>Resucitador  desechable neonatal</t>
  </si>
  <si>
    <t>Guia de entubacion 6 fr neonatal</t>
  </si>
  <si>
    <t>Lanceta esteril x  50 unidades Glucoquick</t>
  </si>
  <si>
    <t>Estilete y/o guia de entubación 16" x 14 fr adulto</t>
  </si>
  <si>
    <t>Estilete y/o guia de entubacion 12" x 8 fr pediátrica</t>
  </si>
  <si>
    <t>Abacavir 20 mg/ml soluciòn oral x 240 ml FRASCO</t>
  </si>
  <si>
    <t>Sistema de calentamiento de sangre y fluidos UNIDAD (RANGER SET STANDAR PARA CALENTAMIENTO DE FLUIDOS VOL 39 ML MARCA 3 M)</t>
  </si>
  <si>
    <t>054*7</t>
  </si>
  <si>
    <t>SOLUCIONES DE GRAN VOLUMEN</t>
  </si>
  <si>
    <t>Agua estéril  solución inyectable X 500 c.c.</t>
  </si>
  <si>
    <t>Cloruro sodio 0.9% solución inyectable X 100 c.c.</t>
  </si>
  <si>
    <t>Cloruro sodio 0.9% solución inyectable X 250 c.c.</t>
  </si>
  <si>
    <t>Cloruro sodio 0.9% solución inyectable x 500 c.c.</t>
  </si>
  <si>
    <t>Dextrosa 10% en agua destilada solución inyectable X 500 c.c.</t>
  </si>
  <si>
    <t>Dextrosa 5% en agua destilada solución inyectable X 500 c.c.</t>
  </si>
  <si>
    <t>Lactato de ringer (Hartman) solución inyectable x 500 c.c.</t>
  </si>
  <si>
    <t>Manitol 20% solución inyectable x 500 c.c.</t>
  </si>
  <si>
    <t>Agua estéril  solución para irrigación X 3000 c.c.</t>
  </si>
  <si>
    <t>Lactato de ringer (Hartman) solución inyectable x 3000 c.c.</t>
  </si>
  <si>
    <t>Solución 90 solución inyectable x 500 c.c.</t>
  </si>
  <si>
    <t>BOLSA X500ml</t>
  </si>
  <si>
    <t>BOLSA PVC X100ML</t>
  </si>
  <si>
    <t>BOLSA PEEDX250ML</t>
  </si>
  <si>
    <t> BOLSA PEED X 500 ML</t>
  </si>
  <si>
    <t>BOLSAX500ML</t>
  </si>
  <si>
    <t>BOLSAX3000ML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</si>
</sst>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* #,##0\ _$_-;\-* #,##0\ _$_-;_-* &quot;-&quot;??\ _$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ahoma"/>
      <family val="2"/>
    </font>
    <font>
      <b/>
      <sz val="11"/>
      <color indexed="63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rgb="FF000000"/>
      <name val="Century Gothic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rgb="FFC0C0C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4" fillId="2" borderId="2" applyNumberFormat="0" applyAlignment="0" applyProtection="0"/>
    <xf numFmtId="165" fontId="2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166" fontId="8" fillId="0" borderId="1" xfId="0" applyNumberFormat="1" applyFont="1" applyFill="1" applyBorder="1"/>
    <xf numFmtId="0" fontId="0" fillId="0" borderId="0" xfId="0" applyFill="1"/>
    <xf numFmtId="0" fontId="9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0" fillId="0" borderId="1" xfId="0" applyBorder="1"/>
    <xf numFmtId="0" fontId="6" fillId="3" borderId="0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43" fontId="0" fillId="0" borderId="1" xfId="0" applyNumberFormat="1" applyFill="1" applyBorder="1"/>
    <xf numFmtId="0" fontId="0" fillId="0" borderId="3" xfId="0" applyFill="1" applyBorder="1" applyAlignment="1">
      <alignment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1" fontId="7" fillId="0" borderId="1" xfId="0" applyNumberFormat="1" applyFont="1" applyFill="1" applyBorder="1" applyAlignment="1">
      <alignment horizontal="right" vertical="center" wrapText="1"/>
    </xf>
    <xf numFmtId="0" fontId="10" fillId="6" borderId="1" xfId="0" applyFont="1" applyFill="1" applyBorder="1" applyAlignment="1">
      <alignment vertical="center" wrapText="1"/>
    </xf>
    <xf numFmtId="166" fontId="0" fillId="0" borderId="6" xfId="0" applyNumberFormat="1" applyBorder="1"/>
    <xf numFmtId="0" fontId="0" fillId="0" borderId="5" xfId="0" applyBorder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8">
    <cellStyle name="Currency 2" xfId="6" xr:uid="{00000000-0005-0000-0000-000000000000}"/>
    <cellStyle name="Millares 2" xfId="2" xr:uid="{00000000-0005-0000-0000-000001000000}"/>
    <cellStyle name="Millares 3" xfId="3" xr:uid="{00000000-0005-0000-0000-000002000000}"/>
    <cellStyle name="Normal" xfId="0" builtinId="0"/>
    <cellStyle name="Normal 11 2 2" xfId="7" xr:uid="{00000000-0005-0000-0000-000004000000}"/>
    <cellStyle name="Normal 2" xfId="1" xr:uid="{00000000-0005-0000-0000-000005000000}"/>
    <cellStyle name="Normal 7" xfId="4" xr:uid="{00000000-0005-0000-0000-000006000000}"/>
    <cellStyle name="Salida 2" xfId="5" xr:uid="{00000000-0005-0000-0000-000007000000}"/>
  </cellStyles>
  <dxfs count="2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2</xdr:col>
      <xdr:colOff>1450975</xdr:colOff>
      <xdr:row>3</xdr:row>
      <xdr:rowOff>152400</xdr:rowOff>
    </xdr:to>
    <xdr:pic>
      <xdr:nvPicPr>
        <xdr:cNvPr id="3" name="2 Imagen" descr="LOGOTIPO METRO BAJ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0"/>
          <a:ext cx="14478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671"/>
  <sheetViews>
    <sheetView tabSelected="1" topLeftCell="C180" zoomScale="90" zoomScaleNormal="90" workbookViewId="0">
      <selection activeCell="F180" sqref="F180"/>
    </sheetView>
  </sheetViews>
  <sheetFormatPr baseColWidth="10" defaultRowHeight="15" x14ac:dyDescent="0.25"/>
  <cols>
    <col min="1" max="1" width="21.85546875" hidden="1" customWidth="1"/>
    <col min="2" max="2" width="23.85546875" hidden="1" customWidth="1"/>
    <col min="3" max="3" width="24.42578125" customWidth="1"/>
    <col min="4" max="4" width="16.140625" customWidth="1"/>
    <col min="5" max="5" width="11.42578125" style="2"/>
    <col min="6" max="6" width="95" customWidth="1"/>
    <col min="7" max="7" width="17.28515625" bestFit="1" customWidth="1"/>
    <col min="8" max="8" width="26" customWidth="1"/>
    <col min="9" max="9" width="27.28515625" style="1" customWidth="1"/>
    <col min="10" max="10" width="15.42578125" customWidth="1"/>
    <col min="11" max="11" width="12" customWidth="1"/>
    <col min="12" max="12" width="45.5703125" customWidth="1"/>
    <col min="13" max="15" width="14.7109375" customWidth="1"/>
    <col min="16" max="20" width="15.7109375" customWidth="1"/>
    <col min="21" max="24" width="11.42578125" customWidth="1"/>
    <col min="25" max="27" width="13.7109375" customWidth="1"/>
    <col min="28" max="30" width="13.140625" customWidth="1"/>
    <col min="31" max="33" width="11.42578125" customWidth="1"/>
    <col min="34" max="35" width="14.140625" customWidth="1"/>
    <col min="36" max="36" width="14.42578125" customWidth="1"/>
    <col min="37" max="37" width="13.5703125" bestFit="1" customWidth="1"/>
  </cols>
  <sheetData>
    <row r="1" spans="1:41" ht="15.75" x14ac:dyDescent="0.25">
      <c r="A1" s="36" t="s">
        <v>13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17"/>
      <c r="AJ1" s="17"/>
    </row>
    <row r="2" spans="1:41" ht="15.75" x14ac:dyDescent="0.25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17"/>
      <c r="AJ2" s="17"/>
    </row>
    <row r="3" spans="1:41" ht="15.75" x14ac:dyDescent="0.25">
      <c r="A3" s="36" t="s">
        <v>15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17"/>
      <c r="AJ3" s="17"/>
    </row>
    <row r="4" spans="1:41" ht="15.75" x14ac:dyDescent="0.25">
      <c r="A4" s="36" t="s">
        <v>19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17"/>
      <c r="AJ4" s="17"/>
    </row>
    <row r="5" spans="1:41" ht="15.75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41" ht="63.75" x14ac:dyDescent="0.25">
      <c r="A6" s="11" t="s">
        <v>22</v>
      </c>
      <c r="B6" s="11" t="s">
        <v>23</v>
      </c>
      <c r="C6" s="11" t="s">
        <v>0</v>
      </c>
      <c r="D6" s="11" t="s">
        <v>1</v>
      </c>
      <c r="E6" s="11" t="s">
        <v>2</v>
      </c>
      <c r="F6" s="11" t="s">
        <v>3</v>
      </c>
      <c r="G6" s="11" t="s">
        <v>24</v>
      </c>
      <c r="H6" s="11" t="s">
        <v>4</v>
      </c>
      <c r="I6" s="11" t="s">
        <v>25</v>
      </c>
      <c r="J6" s="11" t="s">
        <v>6</v>
      </c>
      <c r="K6" s="11" t="s">
        <v>7</v>
      </c>
      <c r="L6" s="11" t="s">
        <v>107</v>
      </c>
      <c r="M6" s="11" t="s">
        <v>927</v>
      </c>
      <c r="N6" s="11" t="s">
        <v>928</v>
      </c>
      <c r="O6" s="11" t="s">
        <v>929</v>
      </c>
      <c r="P6" s="11" t="s">
        <v>26</v>
      </c>
      <c r="Q6" s="11" t="s">
        <v>930</v>
      </c>
      <c r="R6" s="11" t="s">
        <v>931</v>
      </c>
      <c r="S6" s="11" t="s">
        <v>8</v>
      </c>
      <c r="T6" s="11" t="s">
        <v>932</v>
      </c>
      <c r="U6" s="11" t="s">
        <v>933</v>
      </c>
      <c r="V6" s="11" t="s">
        <v>12</v>
      </c>
      <c r="W6" s="11" t="s">
        <v>934</v>
      </c>
      <c r="X6" s="11" t="s">
        <v>935</v>
      </c>
      <c r="Y6" s="11" t="s">
        <v>27</v>
      </c>
      <c r="Z6" s="11" t="s">
        <v>936</v>
      </c>
      <c r="AA6" s="11" t="s">
        <v>937</v>
      </c>
      <c r="AB6" s="11" t="s">
        <v>28</v>
      </c>
      <c r="AC6" s="11" t="s">
        <v>938</v>
      </c>
      <c r="AD6" s="11" t="s">
        <v>939</v>
      </c>
      <c r="AE6" s="11" t="s">
        <v>29</v>
      </c>
      <c r="AF6" s="11" t="s">
        <v>940</v>
      </c>
      <c r="AG6" s="11" t="s">
        <v>941</v>
      </c>
      <c r="AH6" s="11" t="s">
        <v>30</v>
      </c>
      <c r="AI6" s="11" t="s">
        <v>942</v>
      </c>
      <c r="AJ6" s="11" t="s">
        <v>943</v>
      </c>
      <c r="AK6" s="11" t="s">
        <v>31</v>
      </c>
      <c r="AL6" s="11" t="s">
        <v>5</v>
      </c>
      <c r="AM6" s="11" t="s">
        <v>9</v>
      </c>
      <c r="AN6" s="11" t="s">
        <v>10</v>
      </c>
      <c r="AO6" s="11" t="s">
        <v>11</v>
      </c>
    </row>
    <row r="7" spans="1:41" ht="39.950000000000003" customHeight="1" x14ac:dyDescent="0.25">
      <c r="A7" s="26"/>
      <c r="B7" s="26"/>
      <c r="C7" s="12" t="s">
        <v>101</v>
      </c>
      <c r="D7" s="12" t="s">
        <v>102</v>
      </c>
      <c r="E7" s="13">
        <v>102000350</v>
      </c>
      <c r="F7" s="14" t="s">
        <v>946</v>
      </c>
      <c r="G7" s="12" t="s">
        <v>947</v>
      </c>
      <c r="H7" s="26"/>
      <c r="I7" s="20"/>
      <c r="J7" s="26"/>
      <c r="K7" s="26"/>
      <c r="L7" s="20" t="s">
        <v>1049</v>
      </c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8">
        <f>2400*7</f>
        <v>16800</v>
      </c>
      <c r="AL7" s="27"/>
      <c r="AM7" s="27"/>
      <c r="AN7" s="27"/>
      <c r="AO7" s="7">
        <f>(AM7*AN7+AM7)*AL7</f>
        <v>0</v>
      </c>
    </row>
    <row r="8" spans="1:41" ht="39.950000000000003" customHeight="1" x14ac:dyDescent="0.25">
      <c r="A8" s="19"/>
      <c r="B8" s="19"/>
      <c r="C8" s="20" t="s">
        <v>101</v>
      </c>
      <c r="D8" s="20" t="s">
        <v>102</v>
      </c>
      <c r="E8" s="21">
        <v>102000703</v>
      </c>
      <c r="F8" s="22" t="s">
        <v>283</v>
      </c>
      <c r="G8" s="20" t="s">
        <v>41</v>
      </c>
      <c r="H8" s="19"/>
      <c r="I8" s="20" t="s">
        <v>650</v>
      </c>
      <c r="J8" s="19"/>
      <c r="K8" s="19"/>
      <c r="L8" s="20" t="s">
        <v>796</v>
      </c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>
        <f>20*7</f>
        <v>140</v>
      </c>
      <c r="AL8" s="18"/>
      <c r="AM8" s="5"/>
      <c r="AN8" s="5"/>
      <c r="AO8" s="7">
        <f t="shared" ref="AO8:AO71" si="0">(AM8*AN8+AM8)*AL8</f>
        <v>0</v>
      </c>
    </row>
    <row r="9" spans="1:41" ht="39.950000000000003" customHeight="1" x14ac:dyDescent="0.25">
      <c r="A9" s="6"/>
      <c r="B9" s="6"/>
      <c r="C9" s="12" t="s">
        <v>101</v>
      </c>
      <c r="D9" s="12" t="s">
        <v>102</v>
      </c>
      <c r="E9" s="13">
        <v>102000804</v>
      </c>
      <c r="F9" s="14" t="s">
        <v>370</v>
      </c>
      <c r="G9" s="12" t="s">
        <v>58</v>
      </c>
      <c r="H9" s="6"/>
      <c r="I9" s="12" t="s">
        <v>625</v>
      </c>
      <c r="J9" s="6"/>
      <c r="K9" s="6"/>
      <c r="L9" s="12" t="s">
        <v>821</v>
      </c>
      <c r="M9" s="6"/>
      <c r="N9" s="6"/>
      <c r="O9" s="6"/>
      <c r="P9" s="9"/>
      <c r="Q9" s="9"/>
      <c r="R9" s="9"/>
      <c r="S9" s="9"/>
      <c r="T9" s="9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29">
        <f>544*7</f>
        <v>3808</v>
      </c>
      <c r="AL9" s="18"/>
      <c r="AM9" s="5"/>
      <c r="AN9" s="5"/>
      <c r="AO9" s="7">
        <f t="shared" si="0"/>
        <v>0</v>
      </c>
    </row>
    <row r="10" spans="1:41" ht="39.950000000000003" customHeight="1" x14ac:dyDescent="0.25">
      <c r="A10" s="6"/>
      <c r="B10" s="6"/>
      <c r="C10" s="12" t="s">
        <v>101</v>
      </c>
      <c r="D10" s="12" t="s">
        <v>102</v>
      </c>
      <c r="E10" s="13">
        <v>102000909</v>
      </c>
      <c r="F10" s="14" t="s">
        <v>273</v>
      </c>
      <c r="G10" s="12" t="s">
        <v>40</v>
      </c>
      <c r="H10" s="6"/>
      <c r="I10" s="12" t="s">
        <v>657</v>
      </c>
      <c r="J10" s="6"/>
      <c r="K10" s="6"/>
      <c r="L10" s="12" t="s">
        <v>791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29">
        <f>38900*7</f>
        <v>272300</v>
      </c>
      <c r="AL10" s="18"/>
      <c r="AM10" s="5"/>
      <c r="AN10" s="5"/>
      <c r="AO10" s="7">
        <f t="shared" si="0"/>
        <v>0</v>
      </c>
    </row>
    <row r="11" spans="1:41" ht="39.950000000000003" customHeight="1" x14ac:dyDescent="0.25">
      <c r="A11" s="6"/>
      <c r="B11" s="6"/>
      <c r="C11" s="12" t="s">
        <v>101</v>
      </c>
      <c r="D11" s="12" t="s">
        <v>102</v>
      </c>
      <c r="E11" s="13">
        <v>102001204</v>
      </c>
      <c r="F11" s="14" t="s">
        <v>139</v>
      </c>
      <c r="G11" s="12" t="s">
        <v>58</v>
      </c>
      <c r="H11" s="6"/>
      <c r="I11" s="12" t="s">
        <v>612</v>
      </c>
      <c r="J11" s="6"/>
      <c r="K11" s="6"/>
      <c r="L11" s="12" t="s">
        <v>738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29">
        <f>1012*7</f>
        <v>7084</v>
      </c>
      <c r="AL11" s="18"/>
      <c r="AM11" s="5"/>
      <c r="AN11" s="5"/>
      <c r="AO11" s="7">
        <f t="shared" si="0"/>
        <v>0</v>
      </c>
    </row>
    <row r="12" spans="1:41" ht="39.950000000000003" customHeight="1" x14ac:dyDescent="0.25">
      <c r="A12" s="6"/>
      <c r="B12" s="6"/>
      <c r="C12" s="12" t="s">
        <v>101</v>
      </c>
      <c r="D12" s="12" t="s">
        <v>102</v>
      </c>
      <c r="E12" s="13">
        <v>102001403</v>
      </c>
      <c r="F12" s="14" t="s">
        <v>124</v>
      </c>
      <c r="G12" s="12" t="s">
        <v>41</v>
      </c>
      <c r="H12" s="6"/>
      <c r="I12" s="12" t="s">
        <v>603</v>
      </c>
      <c r="J12" s="6"/>
      <c r="K12" s="6"/>
      <c r="L12" s="12" t="s">
        <v>733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29">
        <f>219*7</f>
        <v>1533</v>
      </c>
      <c r="AL12" s="18"/>
      <c r="AM12" s="5"/>
      <c r="AN12" s="5"/>
      <c r="AO12" s="7">
        <f t="shared" si="0"/>
        <v>0</v>
      </c>
    </row>
    <row r="13" spans="1:41" ht="39.950000000000003" customHeight="1" x14ac:dyDescent="0.25">
      <c r="A13" s="6"/>
      <c r="B13" s="6"/>
      <c r="C13" s="12" t="s">
        <v>101</v>
      </c>
      <c r="D13" s="12" t="s">
        <v>102</v>
      </c>
      <c r="E13" s="13">
        <v>103010203</v>
      </c>
      <c r="F13" s="14" t="s">
        <v>348</v>
      </c>
      <c r="G13" s="12" t="s">
        <v>63</v>
      </c>
      <c r="H13" s="6"/>
      <c r="I13" s="12" t="s">
        <v>663</v>
      </c>
      <c r="J13" s="6"/>
      <c r="K13" s="6"/>
      <c r="L13" s="12" t="s">
        <v>820</v>
      </c>
      <c r="M13" s="6"/>
      <c r="N13" s="6"/>
      <c r="O13" s="6"/>
      <c r="P13" s="9"/>
      <c r="Q13" s="9"/>
      <c r="R13" s="9"/>
      <c r="S13" s="9"/>
      <c r="T13" s="9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29">
        <f>713*7</f>
        <v>4991</v>
      </c>
      <c r="AL13" s="18"/>
      <c r="AM13" s="5"/>
      <c r="AN13" s="5"/>
      <c r="AO13" s="7">
        <f t="shared" si="0"/>
        <v>0</v>
      </c>
    </row>
    <row r="14" spans="1:41" ht="39.950000000000003" customHeight="1" x14ac:dyDescent="0.25">
      <c r="A14" s="6"/>
      <c r="B14" s="6"/>
      <c r="C14" s="12" t="s">
        <v>101</v>
      </c>
      <c r="D14" s="12" t="s">
        <v>102</v>
      </c>
      <c r="E14" s="13">
        <v>103010509</v>
      </c>
      <c r="F14" s="14" t="s">
        <v>247</v>
      </c>
      <c r="G14" s="12" t="s">
        <v>38</v>
      </c>
      <c r="H14" s="6"/>
      <c r="I14" s="12" t="s">
        <v>654</v>
      </c>
      <c r="J14" s="6"/>
      <c r="K14" s="6"/>
      <c r="L14" s="12" t="s">
        <v>773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29">
        <f>1832*7</f>
        <v>12824</v>
      </c>
      <c r="AL14" s="18"/>
      <c r="AM14" s="5"/>
      <c r="AN14" s="5"/>
      <c r="AO14" s="7">
        <f t="shared" si="0"/>
        <v>0</v>
      </c>
    </row>
    <row r="15" spans="1:41" ht="39.950000000000003" customHeight="1" x14ac:dyDescent="0.25">
      <c r="A15" s="6"/>
      <c r="B15" s="6"/>
      <c r="C15" s="12" t="s">
        <v>101</v>
      </c>
      <c r="D15" s="12" t="s">
        <v>102</v>
      </c>
      <c r="E15" s="13">
        <v>103010604</v>
      </c>
      <c r="F15" s="14" t="s">
        <v>172</v>
      </c>
      <c r="G15" s="12" t="s">
        <v>58</v>
      </c>
      <c r="H15" s="6"/>
      <c r="I15" s="12" t="s">
        <v>625</v>
      </c>
      <c r="J15" s="6"/>
      <c r="K15" s="6"/>
      <c r="L15" s="12" t="s">
        <v>1050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29">
        <f>1000*7</f>
        <v>7000</v>
      </c>
      <c r="AL15" s="18"/>
      <c r="AM15" s="5"/>
      <c r="AN15" s="5"/>
      <c r="AO15" s="7">
        <f t="shared" si="0"/>
        <v>0</v>
      </c>
    </row>
    <row r="16" spans="1:41" ht="39.950000000000003" customHeight="1" x14ac:dyDescent="0.25">
      <c r="A16" s="6"/>
      <c r="B16" s="6"/>
      <c r="C16" s="12" t="s">
        <v>101</v>
      </c>
      <c r="D16" s="12" t="s">
        <v>102</v>
      </c>
      <c r="E16" s="13">
        <v>103010709</v>
      </c>
      <c r="F16" s="14" t="s">
        <v>32</v>
      </c>
      <c r="G16" s="12" t="s">
        <v>38</v>
      </c>
      <c r="H16" s="6"/>
      <c r="I16" s="12" t="s">
        <v>1051</v>
      </c>
      <c r="J16" s="6"/>
      <c r="K16" s="6"/>
      <c r="L16" s="12" t="s">
        <v>1052</v>
      </c>
      <c r="M16" s="6"/>
      <c r="N16" s="6"/>
      <c r="O16" s="6"/>
      <c r="P16" s="9"/>
      <c r="Q16" s="9"/>
      <c r="R16" s="9"/>
      <c r="S16" s="9"/>
      <c r="T16" s="9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29">
        <f>25955*7</f>
        <v>181685</v>
      </c>
      <c r="AL16" s="18"/>
      <c r="AM16" s="5"/>
      <c r="AN16" s="5"/>
      <c r="AO16" s="7">
        <f t="shared" si="0"/>
        <v>0</v>
      </c>
    </row>
    <row r="17" spans="1:41" ht="39.950000000000003" customHeight="1" x14ac:dyDescent="0.25">
      <c r="A17" s="6"/>
      <c r="B17" s="6"/>
      <c r="C17" s="12" t="s">
        <v>101</v>
      </c>
      <c r="D17" s="12" t="s">
        <v>102</v>
      </c>
      <c r="E17" s="13">
        <v>103010710</v>
      </c>
      <c r="F17" s="14" t="s">
        <v>1001</v>
      </c>
      <c r="G17" s="12" t="s">
        <v>40</v>
      </c>
      <c r="H17" s="6"/>
      <c r="I17" s="12" t="s">
        <v>1054</v>
      </c>
      <c r="J17" s="6"/>
      <c r="K17" s="6"/>
      <c r="L17" s="12" t="s">
        <v>1053</v>
      </c>
      <c r="M17" s="6"/>
      <c r="N17" s="6"/>
      <c r="O17" s="6"/>
      <c r="P17" s="9"/>
      <c r="Q17" s="9"/>
      <c r="R17" s="9"/>
      <c r="S17" s="9"/>
      <c r="T17" s="9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29">
        <f>300*7</f>
        <v>2100</v>
      </c>
      <c r="AL17" s="18"/>
      <c r="AM17" s="5"/>
      <c r="AN17" s="5"/>
      <c r="AO17" s="7">
        <f t="shared" si="0"/>
        <v>0</v>
      </c>
    </row>
    <row r="18" spans="1:41" ht="39.950000000000003" customHeight="1" x14ac:dyDescent="0.25">
      <c r="A18" s="6"/>
      <c r="B18" s="6"/>
      <c r="C18" s="12" t="s">
        <v>101</v>
      </c>
      <c r="D18" s="12" t="s">
        <v>102</v>
      </c>
      <c r="E18" s="13">
        <v>103010809</v>
      </c>
      <c r="F18" s="14" t="s">
        <v>148</v>
      </c>
      <c r="G18" s="12" t="s">
        <v>38</v>
      </c>
      <c r="H18" s="6"/>
      <c r="I18" s="12" t="s">
        <v>1051</v>
      </c>
      <c r="J18" s="6"/>
      <c r="K18" s="6"/>
      <c r="L18" s="12" t="s">
        <v>1055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29">
        <f>24787*7</f>
        <v>173509</v>
      </c>
      <c r="AL18" s="18"/>
      <c r="AM18" s="5"/>
      <c r="AN18" s="5"/>
      <c r="AO18" s="7">
        <f t="shared" si="0"/>
        <v>0</v>
      </c>
    </row>
    <row r="19" spans="1:41" ht="39.950000000000003" customHeight="1" x14ac:dyDescent="0.25">
      <c r="A19" s="6"/>
      <c r="B19" s="6"/>
      <c r="C19" s="12" t="s">
        <v>101</v>
      </c>
      <c r="D19" s="12" t="s">
        <v>102</v>
      </c>
      <c r="E19" s="13">
        <v>103010903</v>
      </c>
      <c r="F19" s="14" t="s">
        <v>452</v>
      </c>
      <c r="G19" s="12" t="s">
        <v>63</v>
      </c>
      <c r="H19" s="6"/>
      <c r="I19" s="12" t="s">
        <v>1056</v>
      </c>
      <c r="J19" s="6"/>
      <c r="K19" s="6"/>
      <c r="L19" s="12" t="s">
        <v>856</v>
      </c>
      <c r="M19" s="6"/>
      <c r="N19" s="6"/>
      <c r="O19" s="6"/>
      <c r="P19" s="9"/>
      <c r="Q19" s="9"/>
      <c r="R19" s="9"/>
      <c r="S19" s="9"/>
      <c r="T19" s="9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29">
        <f>2048*7</f>
        <v>14336</v>
      </c>
      <c r="AL19" s="18"/>
      <c r="AM19" s="5"/>
      <c r="AN19" s="5"/>
      <c r="AO19" s="7">
        <f t="shared" si="0"/>
        <v>0</v>
      </c>
    </row>
    <row r="20" spans="1:41" ht="39.950000000000003" customHeight="1" x14ac:dyDescent="0.25">
      <c r="A20" s="6"/>
      <c r="B20" s="6"/>
      <c r="C20" s="12" t="s">
        <v>101</v>
      </c>
      <c r="D20" s="12" t="s">
        <v>102</v>
      </c>
      <c r="E20" s="13">
        <v>103010920</v>
      </c>
      <c r="F20" s="14" t="s">
        <v>266</v>
      </c>
      <c r="G20" s="12" t="s">
        <v>63</v>
      </c>
      <c r="H20" s="6"/>
      <c r="I20" s="12" t="s">
        <v>1057</v>
      </c>
      <c r="J20" s="6"/>
      <c r="K20" s="6"/>
      <c r="L20" s="12" t="s">
        <v>785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29">
        <f>241*7</f>
        <v>1687</v>
      </c>
      <c r="AL20" s="18"/>
      <c r="AM20" s="5"/>
      <c r="AN20" s="5"/>
      <c r="AO20" s="7">
        <f t="shared" si="0"/>
        <v>0</v>
      </c>
    </row>
    <row r="21" spans="1:41" ht="39.950000000000003" customHeight="1" x14ac:dyDescent="0.25">
      <c r="A21" s="6"/>
      <c r="B21" s="6"/>
      <c r="C21" s="12" t="s">
        <v>101</v>
      </c>
      <c r="D21" s="12" t="s">
        <v>102</v>
      </c>
      <c r="E21" s="13">
        <v>103011209</v>
      </c>
      <c r="F21" s="14" t="s">
        <v>456</v>
      </c>
      <c r="G21" s="12" t="s">
        <v>38</v>
      </c>
      <c r="H21" s="6"/>
      <c r="I21" s="12" t="s">
        <v>1051</v>
      </c>
      <c r="J21" s="6"/>
      <c r="K21" s="6"/>
      <c r="L21" s="12" t="s">
        <v>855</v>
      </c>
      <c r="M21" s="6"/>
      <c r="N21" s="6"/>
      <c r="O21" s="6"/>
      <c r="P21" s="9"/>
      <c r="Q21" s="9"/>
      <c r="R21" s="9"/>
      <c r="S21" s="9"/>
      <c r="T21" s="9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29">
        <f>9458*7</f>
        <v>66206</v>
      </c>
      <c r="AL21" s="18"/>
      <c r="AM21" s="5"/>
      <c r="AN21" s="5"/>
      <c r="AO21" s="7">
        <f t="shared" si="0"/>
        <v>0</v>
      </c>
    </row>
    <row r="22" spans="1:41" ht="39.950000000000003" customHeight="1" x14ac:dyDescent="0.25">
      <c r="A22" s="6"/>
      <c r="B22" s="6"/>
      <c r="C22" s="12" t="s">
        <v>101</v>
      </c>
      <c r="D22" s="12" t="s">
        <v>102</v>
      </c>
      <c r="E22" s="13">
        <v>103011404</v>
      </c>
      <c r="F22" s="14" t="s">
        <v>242</v>
      </c>
      <c r="G22" s="12" t="s">
        <v>58</v>
      </c>
      <c r="H22" s="6"/>
      <c r="I22" s="12" t="s">
        <v>604</v>
      </c>
      <c r="J22" s="6"/>
      <c r="K22" s="6"/>
      <c r="L22" s="12" t="s">
        <v>1058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29">
        <f>62*7</f>
        <v>434</v>
      </c>
      <c r="AL22" s="18"/>
      <c r="AM22" s="5"/>
      <c r="AN22" s="5"/>
      <c r="AO22" s="7">
        <f t="shared" si="0"/>
        <v>0</v>
      </c>
    </row>
    <row r="23" spans="1:41" ht="39.950000000000003" customHeight="1" x14ac:dyDescent="0.25">
      <c r="A23" s="6"/>
      <c r="B23" s="6"/>
      <c r="C23" s="12" t="s">
        <v>101</v>
      </c>
      <c r="D23" s="12" t="s">
        <v>102</v>
      </c>
      <c r="E23" s="13">
        <v>103011509</v>
      </c>
      <c r="F23" s="14" t="s">
        <v>453</v>
      </c>
      <c r="G23" s="12" t="s">
        <v>38</v>
      </c>
      <c r="H23" s="6"/>
      <c r="I23" s="12" t="s">
        <v>1051</v>
      </c>
      <c r="J23" s="6"/>
      <c r="K23" s="6"/>
      <c r="L23" s="12" t="s">
        <v>855</v>
      </c>
      <c r="M23" s="6"/>
      <c r="N23" s="6"/>
      <c r="O23" s="6"/>
      <c r="P23" s="9"/>
      <c r="Q23" s="9"/>
      <c r="R23" s="9"/>
      <c r="S23" s="9"/>
      <c r="T23" s="9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29">
        <f>8298*7</f>
        <v>58086</v>
      </c>
      <c r="AL23" s="18"/>
      <c r="AM23" s="5"/>
      <c r="AN23" s="5"/>
      <c r="AO23" s="7">
        <f t="shared" si="0"/>
        <v>0</v>
      </c>
    </row>
    <row r="24" spans="1:41" ht="39.950000000000003" customHeight="1" x14ac:dyDescent="0.25">
      <c r="A24" s="6"/>
      <c r="B24" s="6"/>
      <c r="C24" s="12" t="s">
        <v>101</v>
      </c>
      <c r="D24" s="12" t="s">
        <v>102</v>
      </c>
      <c r="E24" s="13">
        <v>103011604</v>
      </c>
      <c r="F24" s="14" t="s">
        <v>248</v>
      </c>
      <c r="G24" s="12" t="s">
        <v>58</v>
      </c>
      <c r="H24" s="6"/>
      <c r="I24" s="12" t="s">
        <v>618</v>
      </c>
      <c r="J24" s="6"/>
      <c r="K24" s="6"/>
      <c r="L24" s="12" t="s">
        <v>727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29">
        <f>30*7</f>
        <v>210</v>
      </c>
      <c r="AL24" s="18"/>
      <c r="AM24" s="5"/>
      <c r="AN24" s="5"/>
      <c r="AO24" s="7">
        <f t="shared" si="0"/>
        <v>0</v>
      </c>
    </row>
    <row r="25" spans="1:41" ht="39.950000000000003" customHeight="1" x14ac:dyDescent="0.25">
      <c r="A25" s="6"/>
      <c r="B25" s="6"/>
      <c r="C25" s="12" t="s">
        <v>101</v>
      </c>
      <c r="D25" s="12" t="s">
        <v>102</v>
      </c>
      <c r="E25" s="13">
        <v>103011709</v>
      </c>
      <c r="F25" s="14" t="s">
        <v>1068</v>
      </c>
      <c r="G25" s="12" t="s">
        <v>39</v>
      </c>
      <c r="H25" s="6"/>
      <c r="I25" s="12" t="s">
        <v>1060</v>
      </c>
      <c r="J25" s="6"/>
      <c r="K25" s="6"/>
      <c r="L25" s="12" t="s">
        <v>1059</v>
      </c>
      <c r="M25" s="6"/>
      <c r="N25" s="6"/>
      <c r="O25" s="6"/>
      <c r="P25" s="9"/>
      <c r="Q25" s="9"/>
      <c r="R25" s="9"/>
      <c r="S25" s="9"/>
      <c r="T25" s="9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29">
        <f>707*7</f>
        <v>4949</v>
      </c>
      <c r="AL25" s="18"/>
      <c r="AM25" s="5"/>
      <c r="AN25" s="5"/>
      <c r="AO25" s="7">
        <f t="shared" si="0"/>
        <v>0</v>
      </c>
    </row>
    <row r="26" spans="1:41" ht="39.950000000000003" customHeight="1" x14ac:dyDescent="0.25">
      <c r="A26" s="6"/>
      <c r="B26" s="6"/>
      <c r="C26" s="12" t="s">
        <v>101</v>
      </c>
      <c r="D26" s="12" t="s">
        <v>102</v>
      </c>
      <c r="E26" s="13">
        <v>103011803</v>
      </c>
      <c r="F26" s="14" t="s">
        <v>344</v>
      </c>
      <c r="G26" s="12" t="s">
        <v>41</v>
      </c>
      <c r="H26" s="6"/>
      <c r="I26" s="12" t="s">
        <v>1061</v>
      </c>
      <c r="J26" s="6"/>
      <c r="K26" s="6"/>
      <c r="L26" s="12" t="s">
        <v>816</v>
      </c>
      <c r="M26" s="6"/>
      <c r="N26" s="6"/>
      <c r="O26" s="6"/>
      <c r="P26" s="9"/>
      <c r="Q26" s="9"/>
      <c r="R26" s="9"/>
      <c r="S26" s="9"/>
      <c r="T26" s="9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29">
        <f>91*7</f>
        <v>637</v>
      </c>
      <c r="AL26" s="18"/>
      <c r="AM26" s="5"/>
      <c r="AN26" s="5"/>
      <c r="AO26" s="7">
        <f t="shared" si="0"/>
        <v>0</v>
      </c>
    </row>
    <row r="27" spans="1:41" ht="39.950000000000003" customHeight="1" x14ac:dyDescent="0.25">
      <c r="A27" s="6"/>
      <c r="B27" s="6"/>
      <c r="C27" s="12" t="s">
        <v>101</v>
      </c>
      <c r="D27" s="12" t="s">
        <v>102</v>
      </c>
      <c r="E27" s="13">
        <v>103011915</v>
      </c>
      <c r="F27" s="14" t="s">
        <v>1002</v>
      </c>
      <c r="G27" s="12" t="s">
        <v>201</v>
      </c>
      <c r="H27" s="6"/>
      <c r="I27" s="12" t="s">
        <v>1064</v>
      </c>
      <c r="J27" s="6"/>
      <c r="K27" s="6"/>
      <c r="L27" s="12" t="s">
        <v>1062</v>
      </c>
      <c r="M27" s="6"/>
      <c r="N27" s="6"/>
      <c r="O27" s="6"/>
      <c r="P27" s="9"/>
      <c r="Q27" s="9"/>
      <c r="R27" s="9"/>
      <c r="S27" s="9"/>
      <c r="T27" s="9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29">
        <f>2*7</f>
        <v>14</v>
      </c>
      <c r="AL27" s="18"/>
      <c r="AM27" s="5"/>
      <c r="AN27" s="5"/>
      <c r="AO27" s="7">
        <f t="shared" si="0"/>
        <v>0</v>
      </c>
    </row>
    <row r="28" spans="1:41" ht="39.950000000000003" customHeight="1" x14ac:dyDescent="0.25">
      <c r="A28" s="6"/>
      <c r="B28" s="6"/>
      <c r="C28" s="12" t="s">
        <v>101</v>
      </c>
      <c r="D28" s="12" t="s">
        <v>102</v>
      </c>
      <c r="E28" s="13">
        <v>103012003</v>
      </c>
      <c r="F28" s="14" t="s">
        <v>185</v>
      </c>
      <c r="G28" s="12" t="s">
        <v>41</v>
      </c>
      <c r="H28" s="6"/>
      <c r="I28" s="12" t="s">
        <v>631</v>
      </c>
      <c r="J28" s="6"/>
      <c r="K28" s="6"/>
      <c r="L28" s="12" t="s">
        <v>753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29">
        <f>1199*7</f>
        <v>8393</v>
      </c>
      <c r="AL28" s="18"/>
      <c r="AM28" s="5"/>
      <c r="AN28" s="5"/>
      <c r="AO28" s="7">
        <f t="shared" si="0"/>
        <v>0</v>
      </c>
    </row>
    <row r="29" spans="1:41" ht="39.950000000000003" customHeight="1" x14ac:dyDescent="0.25">
      <c r="A29" s="6"/>
      <c r="B29" s="6"/>
      <c r="C29" s="12" t="s">
        <v>101</v>
      </c>
      <c r="D29" s="12" t="s">
        <v>102</v>
      </c>
      <c r="E29" s="13">
        <v>103012110</v>
      </c>
      <c r="F29" s="14" t="s">
        <v>347</v>
      </c>
      <c r="G29" s="12" t="s">
        <v>63</v>
      </c>
      <c r="H29" s="6"/>
      <c r="I29" s="12" t="s">
        <v>634</v>
      </c>
      <c r="J29" s="6"/>
      <c r="K29" s="6"/>
      <c r="L29" s="12" t="s">
        <v>1063</v>
      </c>
      <c r="M29" s="6"/>
      <c r="N29" s="6"/>
      <c r="O29" s="6"/>
      <c r="P29" s="9"/>
      <c r="Q29" s="9"/>
      <c r="R29" s="9"/>
      <c r="S29" s="9"/>
      <c r="T29" s="9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29">
        <f>1945*7</f>
        <v>13615</v>
      </c>
      <c r="AL29" s="18"/>
      <c r="AM29" s="5"/>
      <c r="AN29" s="5"/>
      <c r="AO29" s="7">
        <f t="shared" si="0"/>
        <v>0</v>
      </c>
    </row>
    <row r="30" spans="1:41" ht="39.950000000000003" customHeight="1" x14ac:dyDescent="0.25">
      <c r="A30" s="6"/>
      <c r="B30" s="6"/>
      <c r="C30" s="12" t="s">
        <v>101</v>
      </c>
      <c r="D30" s="12" t="s">
        <v>102</v>
      </c>
      <c r="E30" s="13">
        <v>103012115</v>
      </c>
      <c r="F30" s="14" t="s">
        <v>249</v>
      </c>
      <c r="G30" s="12" t="s">
        <v>63</v>
      </c>
      <c r="H30" s="6"/>
      <c r="I30" s="12" t="s">
        <v>631</v>
      </c>
      <c r="J30" s="6"/>
      <c r="K30" s="6"/>
      <c r="L30" s="12" t="s">
        <v>1065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29">
        <f>928*7</f>
        <v>6496</v>
      </c>
      <c r="AL30" s="18"/>
      <c r="AM30" s="5"/>
      <c r="AN30" s="5"/>
      <c r="AO30" s="7">
        <f t="shared" si="0"/>
        <v>0</v>
      </c>
    </row>
    <row r="31" spans="1:41" ht="39.950000000000003" customHeight="1" x14ac:dyDescent="0.25">
      <c r="A31" s="6"/>
      <c r="B31" s="6"/>
      <c r="C31" s="12" t="s">
        <v>101</v>
      </c>
      <c r="D31" s="12" t="s">
        <v>102</v>
      </c>
      <c r="E31" s="13">
        <v>103012203</v>
      </c>
      <c r="F31" s="14" t="s">
        <v>301</v>
      </c>
      <c r="G31" s="12" t="s">
        <v>63</v>
      </c>
      <c r="H31" s="6"/>
      <c r="I31" s="12" t="s">
        <v>1066</v>
      </c>
      <c r="J31" s="6"/>
      <c r="K31" s="6"/>
      <c r="L31" s="12" t="s">
        <v>762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29">
        <f>883*7</f>
        <v>6181</v>
      </c>
      <c r="AL31" s="18"/>
      <c r="AM31" s="5"/>
      <c r="AN31" s="5"/>
      <c r="AO31" s="7">
        <f t="shared" si="0"/>
        <v>0</v>
      </c>
    </row>
    <row r="32" spans="1:41" ht="39.950000000000003" customHeight="1" x14ac:dyDescent="0.25">
      <c r="A32" s="6"/>
      <c r="B32" s="6"/>
      <c r="C32" s="12" t="s">
        <v>101</v>
      </c>
      <c r="D32" s="12" t="s">
        <v>102</v>
      </c>
      <c r="E32" s="13">
        <v>103012209</v>
      </c>
      <c r="F32" s="14" t="s">
        <v>1067</v>
      </c>
      <c r="G32" s="12" t="s">
        <v>39</v>
      </c>
      <c r="H32" s="6"/>
      <c r="I32" s="12" t="s">
        <v>1060</v>
      </c>
      <c r="J32" s="6"/>
      <c r="K32" s="6"/>
      <c r="L32" s="12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29">
        <f>754*7</f>
        <v>5278</v>
      </c>
      <c r="AL32" s="18"/>
      <c r="AM32" s="5"/>
      <c r="AN32" s="5"/>
      <c r="AO32" s="7">
        <f t="shared" si="0"/>
        <v>0</v>
      </c>
    </row>
    <row r="33" spans="1:41" ht="39.950000000000003" customHeight="1" x14ac:dyDescent="0.25">
      <c r="A33" s="6"/>
      <c r="B33" s="6"/>
      <c r="C33" s="12" t="s">
        <v>101</v>
      </c>
      <c r="D33" s="12" t="s">
        <v>102</v>
      </c>
      <c r="E33" s="13">
        <v>103012303</v>
      </c>
      <c r="F33" s="14" t="s">
        <v>294</v>
      </c>
      <c r="G33" s="12" t="s">
        <v>63</v>
      </c>
      <c r="H33" s="6"/>
      <c r="I33" s="12" t="s">
        <v>623</v>
      </c>
      <c r="J33" s="6"/>
      <c r="K33" s="6"/>
      <c r="L33" s="12" t="s">
        <v>1069</v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29">
        <f>2586*7</f>
        <v>18102</v>
      </c>
      <c r="AL33" s="18"/>
      <c r="AM33" s="5"/>
      <c r="AN33" s="5"/>
      <c r="AO33" s="7">
        <f t="shared" si="0"/>
        <v>0</v>
      </c>
    </row>
    <row r="34" spans="1:41" ht="39.950000000000003" customHeight="1" x14ac:dyDescent="0.25">
      <c r="A34" s="6"/>
      <c r="B34" s="6"/>
      <c r="C34" s="12" t="s">
        <v>101</v>
      </c>
      <c r="D34" s="12" t="s">
        <v>102</v>
      </c>
      <c r="E34" s="13">
        <v>103012403</v>
      </c>
      <c r="F34" s="14" t="s">
        <v>190</v>
      </c>
      <c r="G34" s="12" t="s">
        <v>63</v>
      </c>
      <c r="H34" s="6"/>
      <c r="I34" s="12" t="s">
        <v>1057</v>
      </c>
      <c r="J34" s="6"/>
      <c r="K34" s="6"/>
      <c r="L34" s="12" t="s">
        <v>754</v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29">
        <f>203*7</f>
        <v>1421</v>
      </c>
      <c r="AL34" s="18"/>
      <c r="AM34" s="5"/>
      <c r="AN34" s="5"/>
      <c r="AO34" s="7">
        <f t="shared" si="0"/>
        <v>0</v>
      </c>
    </row>
    <row r="35" spans="1:41" ht="39.950000000000003" customHeight="1" x14ac:dyDescent="0.25">
      <c r="A35" s="6"/>
      <c r="B35" s="6"/>
      <c r="C35" s="12" t="s">
        <v>101</v>
      </c>
      <c r="D35" s="12" t="s">
        <v>102</v>
      </c>
      <c r="E35" s="13">
        <v>103012503</v>
      </c>
      <c r="F35" s="14" t="s">
        <v>279</v>
      </c>
      <c r="G35" s="12" t="s">
        <v>63</v>
      </c>
      <c r="H35" s="6"/>
      <c r="I35" s="12" t="s">
        <v>1057</v>
      </c>
      <c r="J35" s="6"/>
      <c r="K35" s="6"/>
      <c r="L35" s="12" t="s">
        <v>775</v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29">
        <f>399*7</f>
        <v>2793</v>
      </c>
      <c r="AL35" s="18"/>
      <c r="AM35" s="5"/>
      <c r="AN35" s="5"/>
      <c r="AO35" s="7">
        <f t="shared" si="0"/>
        <v>0</v>
      </c>
    </row>
    <row r="36" spans="1:41" ht="39.950000000000003" customHeight="1" x14ac:dyDescent="0.25">
      <c r="A36" s="6"/>
      <c r="B36" s="6"/>
      <c r="C36" s="12" t="s">
        <v>101</v>
      </c>
      <c r="D36" s="12" t="s">
        <v>102</v>
      </c>
      <c r="E36" s="13">
        <v>103012603</v>
      </c>
      <c r="F36" s="14" t="s">
        <v>353</v>
      </c>
      <c r="G36" s="12" t="s">
        <v>63</v>
      </c>
      <c r="H36" s="6"/>
      <c r="I36" s="12" t="s">
        <v>1057</v>
      </c>
      <c r="J36" s="6"/>
      <c r="K36" s="6"/>
      <c r="L36" s="12" t="s">
        <v>775</v>
      </c>
      <c r="M36" s="6"/>
      <c r="N36" s="6"/>
      <c r="O36" s="6"/>
      <c r="P36" s="9"/>
      <c r="Q36" s="9"/>
      <c r="R36" s="9"/>
      <c r="S36" s="9"/>
      <c r="T36" s="9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29">
        <f>143*7</f>
        <v>1001</v>
      </c>
      <c r="AL36" s="18"/>
      <c r="AM36" s="5"/>
      <c r="AN36" s="5"/>
      <c r="AO36" s="7">
        <f t="shared" si="0"/>
        <v>0</v>
      </c>
    </row>
    <row r="37" spans="1:41" ht="39.950000000000003" customHeight="1" x14ac:dyDescent="0.25">
      <c r="A37" s="6"/>
      <c r="B37" s="6"/>
      <c r="C37" s="12" t="s">
        <v>101</v>
      </c>
      <c r="D37" s="12" t="s">
        <v>102</v>
      </c>
      <c r="E37" s="13">
        <v>103012703</v>
      </c>
      <c r="F37" s="14" t="s">
        <v>254</v>
      </c>
      <c r="G37" s="12" t="s">
        <v>63</v>
      </c>
      <c r="H37" s="6"/>
      <c r="I37" s="12" t="s">
        <v>1057</v>
      </c>
      <c r="J37" s="6"/>
      <c r="K37" s="6"/>
      <c r="L37" s="12" t="s">
        <v>775</v>
      </c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29">
        <f>717*7</f>
        <v>5019</v>
      </c>
      <c r="AL37" s="18"/>
      <c r="AM37" s="5"/>
      <c r="AN37" s="5"/>
      <c r="AO37" s="7">
        <f t="shared" si="0"/>
        <v>0</v>
      </c>
    </row>
    <row r="38" spans="1:41" ht="39.950000000000003" customHeight="1" x14ac:dyDescent="0.25">
      <c r="A38" s="6"/>
      <c r="B38" s="6"/>
      <c r="C38" s="12" t="s">
        <v>101</v>
      </c>
      <c r="D38" s="12" t="s">
        <v>102</v>
      </c>
      <c r="E38" s="13">
        <v>103012804</v>
      </c>
      <c r="F38" s="14" t="s">
        <v>1003</v>
      </c>
      <c r="G38" s="12" t="s">
        <v>997</v>
      </c>
      <c r="H38" s="10"/>
      <c r="I38" s="12" t="s">
        <v>625</v>
      </c>
      <c r="J38" s="6"/>
      <c r="K38" s="6"/>
      <c r="L38" s="12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29">
        <f>10*7</f>
        <v>70</v>
      </c>
      <c r="AL38" s="18"/>
      <c r="AM38" s="5"/>
      <c r="AN38" s="5"/>
      <c r="AO38" s="7">
        <f t="shared" si="0"/>
        <v>0</v>
      </c>
    </row>
    <row r="39" spans="1:41" ht="39.950000000000003" customHeight="1" x14ac:dyDescent="0.25">
      <c r="A39" s="6"/>
      <c r="B39" s="6"/>
      <c r="C39" s="12" t="s">
        <v>101</v>
      </c>
      <c r="D39" s="12" t="s">
        <v>102</v>
      </c>
      <c r="E39" s="13">
        <v>103013103</v>
      </c>
      <c r="F39" s="14" t="s">
        <v>458</v>
      </c>
      <c r="G39" s="12" t="s">
        <v>63</v>
      </c>
      <c r="H39" s="6"/>
      <c r="I39" s="12" t="s">
        <v>623</v>
      </c>
      <c r="J39" s="6"/>
      <c r="K39" s="6"/>
      <c r="L39" s="12" t="s">
        <v>854</v>
      </c>
      <c r="M39" s="6"/>
      <c r="N39" s="6"/>
      <c r="O39" s="6"/>
      <c r="P39" s="9"/>
      <c r="Q39" s="9"/>
      <c r="R39" s="9"/>
      <c r="S39" s="9"/>
      <c r="T39" s="9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29">
        <f>39*7</f>
        <v>273</v>
      </c>
      <c r="AL39" s="18"/>
      <c r="AM39" s="5"/>
      <c r="AN39" s="5"/>
      <c r="AO39" s="7">
        <f t="shared" si="0"/>
        <v>0</v>
      </c>
    </row>
    <row r="40" spans="1:41" ht="39.950000000000003" customHeight="1" x14ac:dyDescent="0.25">
      <c r="A40" s="6"/>
      <c r="B40" s="6"/>
      <c r="C40" s="12" t="s">
        <v>101</v>
      </c>
      <c r="D40" s="12" t="s">
        <v>102</v>
      </c>
      <c r="E40" s="13">
        <v>103013709</v>
      </c>
      <c r="F40" s="14" t="s">
        <v>499</v>
      </c>
      <c r="G40" s="12" t="s">
        <v>39</v>
      </c>
      <c r="H40" s="6"/>
      <c r="I40" s="12" t="s">
        <v>1070</v>
      </c>
      <c r="J40" s="6"/>
      <c r="K40" s="6"/>
      <c r="L40" s="12" t="s">
        <v>867</v>
      </c>
      <c r="M40" s="6"/>
      <c r="N40" s="6"/>
      <c r="O40" s="6"/>
      <c r="P40" s="9"/>
      <c r="Q40" s="9"/>
      <c r="R40" s="9"/>
      <c r="S40" s="9"/>
      <c r="T40" s="9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29">
        <f>8097*7</f>
        <v>56679</v>
      </c>
      <c r="AL40" s="18"/>
      <c r="AM40" s="5"/>
      <c r="AN40" s="5"/>
      <c r="AO40" s="7">
        <f t="shared" si="0"/>
        <v>0</v>
      </c>
    </row>
    <row r="41" spans="1:41" ht="39.950000000000003" customHeight="1" x14ac:dyDescent="0.25">
      <c r="A41" s="6"/>
      <c r="B41" s="6"/>
      <c r="C41" s="12" t="s">
        <v>101</v>
      </c>
      <c r="D41" s="12" t="s">
        <v>102</v>
      </c>
      <c r="E41" s="13">
        <v>103013903</v>
      </c>
      <c r="F41" s="14" t="s">
        <v>209</v>
      </c>
      <c r="G41" s="12" t="s">
        <v>41</v>
      </c>
      <c r="H41" s="6"/>
      <c r="I41" s="12" t="s">
        <v>640</v>
      </c>
      <c r="J41" s="6"/>
      <c r="K41" s="6"/>
      <c r="L41" s="12" t="s">
        <v>757</v>
      </c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29">
        <f>5694*7</f>
        <v>39858</v>
      </c>
      <c r="AL41" s="18"/>
      <c r="AM41" s="5"/>
      <c r="AN41" s="5"/>
      <c r="AO41" s="7">
        <f t="shared" si="0"/>
        <v>0</v>
      </c>
    </row>
    <row r="42" spans="1:41" ht="39.950000000000003" customHeight="1" x14ac:dyDescent="0.25">
      <c r="A42" s="6"/>
      <c r="B42" s="6"/>
      <c r="C42" s="12" t="s">
        <v>101</v>
      </c>
      <c r="D42" s="12" t="s">
        <v>102</v>
      </c>
      <c r="E42" s="13">
        <v>103014203</v>
      </c>
      <c r="F42" s="14" t="s">
        <v>296</v>
      </c>
      <c r="G42" s="12" t="s">
        <v>41</v>
      </c>
      <c r="H42" s="6"/>
      <c r="I42" s="12" t="s">
        <v>1071</v>
      </c>
      <c r="J42" s="6"/>
      <c r="K42" s="6"/>
      <c r="L42" s="12" t="s">
        <v>762</v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29">
        <f>3149*7</f>
        <v>22043</v>
      </c>
      <c r="AL42" s="18"/>
      <c r="AM42" s="5"/>
      <c r="AN42" s="5"/>
      <c r="AO42" s="7">
        <f t="shared" si="0"/>
        <v>0</v>
      </c>
    </row>
    <row r="43" spans="1:41" ht="39.950000000000003" customHeight="1" x14ac:dyDescent="0.25">
      <c r="A43" s="6"/>
      <c r="B43" s="6"/>
      <c r="C43" s="12" t="s">
        <v>101</v>
      </c>
      <c r="D43" s="12" t="s">
        <v>102</v>
      </c>
      <c r="E43" s="13">
        <v>103014803</v>
      </c>
      <c r="F43" s="14" t="s">
        <v>351</v>
      </c>
      <c r="G43" s="12" t="s">
        <v>41</v>
      </c>
      <c r="H43" s="6"/>
      <c r="I43" s="12" t="s">
        <v>1072</v>
      </c>
      <c r="J43" s="6"/>
      <c r="K43" s="6"/>
      <c r="L43" s="12" t="s">
        <v>816</v>
      </c>
      <c r="M43" s="6"/>
      <c r="N43" s="6"/>
      <c r="O43" s="6"/>
      <c r="P43" s="9"/>
      <c r="Q43" s="9"/>
      <c r="R43" s="9"/>
      <c r="S43" s="9"/>
      <c r="T43" s="9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29">
        <f>835*7</f>
        <v>5845</v>
      </c>
      <c r="AL43" s="18"/>
      <c r="AM43" s="5"/>
      <c r="AN43" s="5"/>
      <c r="AO43" s="7">
        <f t="shared" si="0"/>
        <v>0</v>
      </c>
    </row>
    <row r="44" spans="1:41" ht="39.950000000000003" customHeight="1" x14ac:dyDescent="0.25">
      <c r="A44" s="6"/>
      <c r="B44" s="6"/>
      <c r="C44" s="12" t="s">
        <v>101</v>
      </c>
      <c r="D44" s="12" t="s">
        <v>102</v>
      </c>
      <c r="E44" s="13">
        <v>103015503</v>
      </c>
      <c r="F44" s="14" t="s">
        <v>274</v>
      </c>
      <c r="G44" s="12" t="s">
        <v>63</v>
      </c>
      <c r="H44" s="6"/>
      <c r="I44" s="12" t="s">
        <v>1072</v>
      </c>
      <c r="J44" s="6"/>
      <c r="K44" s="6"/>
      <c r="L44" s="12" t="s">
        <v>792</v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29">
        <f>12108*7</f>
        <v>84756</v>
      </c>
      <c r="AL44" s="18"/>
      <c r="AM44" s="5"/>
      <c r="AN44" s="5"/>
      <c r="AO44" s="7">
        <f t="shared" si="0"/>
        <v>0</v>
      </c>
    </row>
    <row r="45" spans="1:41" ht="39.950000000000003" customHeight="1" x14ac:dyDescent="0.25">
      <c r="A45" s="6"/>
      <c r="B45" s="6"/>
      <c r="C45" s="12" t="s">
        <v>101</v>
      </c>
      <c r="D45" s="12" t="s">
        <v>102</v>
      </c>
      <c r="E45" s="13">
        <v>103015603</v>
      </c>
      <c r="F45" s="14" t="s">
        <v>232</v>
      </c>
      <c r="G45" s="12" t="s">
        <v>63</v>
      </c>
      <c r="H45" s="6"/>
      <c r="I45" s="12" t="s">
        <v>1072</v>
      </c>
      <c r="J45" s="6"/>
      <c r="K45" s="6"/>
      <c r="L45" s="12" t="s">
        <v>763</v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29">
        <f>1440*7</f>
        <v>10080</v>
      </c>
      <c r="AL45" s="18"/>
      <c r="AM45" s="5"/>
      <c r="AN45" s="5"/>
      <c r="AO45" s="7">
        <f t="shared" si="0"/>
        <v>0</v>
      </c>
    </row>
    <row r="46" spans="1:41" ht="39.950000000000003" customHeight="1" x14ac:dyDescent="0.25">
      <c r="A46" s="6"/>
      <c r="B46" s="6"/>
      <c r="C46" s="12" t="s">
        <v>101</v>
      </c>
      <c r="D46" s="12" t="s">
        <v>102</v>
      </c>
      <c r="E46" s="13">
        <v>103015803</v>
      </c>
      <c r="F46" s="14" t="s">
        <v>368</v>
      </c>
      <c r="G46" s="12" t="s">
        <v>63</v>
      </c>
      <c r="H46" s="6"/>
      <c r="I46" s="12" t="s">
        <v>1072</v>
      </c>
      <c r="J46" s="6"/>
      <c r="K46" s="6"/>
      <c r="L46" s="12" t="s">
        <v>828</v>
      </c>
      <c r="M46" s="6"/>
      <c r="N46" s="6"/>
      <c r="O46" s="6"/>
      <c r="P46" s="9"/>
      <c r="Q46" s="9"/>
      <c r="R46" s="9"/>
      <c r="S46" s="9"/>
      <c r="T46" s="9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29">
        <f>502*7</f>
        <v>3514</v>
      </c>
      <c r="AL46" s="18"/>
      <c r="AM46" s="5"/>
      <c r="AN46" s="5"/>
      <c r="AO46" s="7">
        <f t="shared" si="0"/>
        <v>0</v>
      </c>
    </row>
    <row r="47" spans="1:41" ht="39.950000000000003" customHeight="1" x14ac:dyDescent="0.25">
      <c r="A47" s="6"/>
      <c r="B47" s="6"/>
      <c r="C47" s="12" t="s">
        <v>101</v>
      </c>
      <c r="D47" s="12" t="s">
        <v>102</v>
      </c>
      <c r="E47" s="13">
        <v>103015904</v>
      </c>
      <c r="F47" s="14" t="s">
        <v>451</v>
      </c>
      <c r="G47" s="12" t="s">
        <v>58</v>
      </c>
      <c r="H47" s="6"/>
      <c r="I47" s="12" t="s">
        <v>618</v>
      </c>
      <c r="J47" s="6"/>
      <c r="K47" s="6"/>
      <c r="L47" s="12" t="s">
        <v>855</v>
      </c>
      <c r="M47" s="6"/>
      <c r="N47" s="6"/>
      <c r="O47" s="6"/>
      <c r="P47" s="9"/>
      <c r="Q47" s="9"/>
      <c r="R47" s="9"/>
      <c r="S47" s="9"/>
      <c r="T47" s="9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29">
        <f>273*7</f>
        <v>1911</v>
      </c>
      <c r="AL47" s="18"/>
      <c r="AM47" s="5"/>
      <c r="AN47" s="5"/>
      <c r="AO47" s="7">
        <f t="shared" si="0"/>
        <v>0</v>
      </c>
    </row>
    <row r="48" spans="1:41" ht="39.950000000000003" customHeight="1" x14ac:dyDescent="0.25">
      <c r="A48" s="6"/>
      <c r="B48" s="6"/>
      <c r="C48" s="12" t="s">
        <v>101</v>
      </c>
      <c r="D48" s="12" t="s">
        <v>102</v>
      </c>
      <c r="E48" s="13">
        <v>103016050</v>
      </c>
      <c r="F48" s="14" t="s">
        <v>948</v>
      </c>
      <c r="G48" s="12" t="s">
        <v>947</v>
      </c>
      <c r="H48" s="6"/>
      <c r="I48" s="12" t="s">
        <v>1073</v>
      </c>
      <c r="J48" s="6"/>
      <c r="K48" s="6"/>
      <c r="L48" s="12"/>
      <c r="M48" s="6"/>
      <c r="N48" s="6"/>
      <c r="O48" s="6"/>
      <c r="P48" s="9"/>
      <c r="Q48" s="9"/>
      <c r="R48" s="9"/>
      <c r="S48" s="9"/>
      <c r="T48" s="9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29">
        <f>39*7</f>
        <v>273</v>
      </c>
      <c r="AL48" s="18"/>
      <c r="AM48" s="5"/>
      <c r="AN48" s="5"/>
      <c r="AO48" s="7">
        <f t="shared" si="0"/>
        <v>0</v>
      </c>
    </row>
    <row r="49" spans="1:41" ht="39.950000000000003" customHeight="1" x14ac:dyDescent="0.25">
      <c r="A49" s="6"/>
      <c r="B49" s="6"/>
      <c r="C49" s="12" t="s">
        <v>101</v>
      </c>
      <c r="D49" s="12" t="s">
        <v>102</v>
      </c>
      <c r="E49" s="13">
        <v>103016109</v>
      </c>
      <c r="F49" s="14" t="s">
        <v>1074</v>
      </c>
      <c r="G49" s="12" t="s">
        <v>39</v>
      </c>
      <c r="H49" s="6"/>
      <c r="I49" s="12" t="s">
        <v>704</v>
      </c>
      <c r="J49" s="6"/>
      <c r="K49" s="6"/>
      <c r="L49" s="12" t="s">
        <v>773</v>
      </c>
      <c r="M49" s="6"/>
      <c r="N49" s="6"/>
      <c r="O49" s="6"/>
      <c r="P49" s="9"/>
      <c r="Q49" s="9"/>
      <c r="R49" s="9"/>
      <c r="S49" s="9"/>
      <c r="T49" s="9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29">
        <f>237*7</f>
        <v>1659</v>
      </c>
      <c r="AL49" s="18"/>
      <c r="AM49" s="5"/>
      <c r="AN49" s="5"/>
      <c r="AO49" s="7">
        <f t="shared" si="0"/>
        <v>0</v>
      </c>
    </row>
    <row r="50" spans="1:41" ht="39.950000000000003" customHeight="1" x14ac:dyDescent="0.25">
      <c r="A50" s="6"/>
      <c r="B50" s="6"/>
      <c r="C50" s="12" t="s">
        <v>101</v>
      </c>
      <c r="D50" s="12" t="s">
        <v>102</v>
      </c>
      <c r="E50" s="13">
        <v>103016204</v>
      </c>
      <c r="F50" s="14" t="s">
        <v>203</v>
      </c>
      <c r="G50" s="12" t="s">
        <v>58</v>
      </c>
      <c r="H50" s="6"/>
      <c r="I50" s="12" t="s">
        <v>607</v>
      </c>
      <c r="J50" s="6"/>
      <c r="K50" s="6"/>
      <c r="L50" s="12" t="s">
        <v>729</v>
      </c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29">
        <f>25*7</f>
        <v>175</v>
      </c>
      <c r="AL50" s="18"/>
      <c r="AM50" s="5"/>
      <c r="AN50" s="5"/>
      <c r="AO50" s="7">
        <f t="shared" si="0"/>
        <v>0</v>
      </c>
    </row>
    <row r="51" spans="1:41" ht="39.950000000000003" customHeight="1" x14ac:dyDescent="0.25">
      <c r="A51" s="6"/>
      <c r="B51" s="6"/>
      <c r="C51" s="12" t="s">
        <v>101</v>
      </c>
      <c r="D51" s="12" t="s">
        <v>102</v>
      </c>
      <c r="E51" s="13">
        <v>103016803</v>
      </c>
      <c r="F51" s="14" t="s">
        <v>250</v>
      </c>
      <c r="G51" s="12" t="s">
        <v>63</v>
      </c>
      <c r="H51" s="6"/>
      <c r="I51" s="12" t="s">
        <v>623</v>
      </c>
      <c r="J51" s="6"/>
      <c r="K51" s="6"/>
      <c r="L51" s="12" t="s">
        <v>762</v>
      </c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29">
        <f>340*7</f>
        <v>2380</v>
      </c>
      <c r="AL51" s="18"/>
      <c r="AM51" s="5"/>
      <c r="AN51" s="5"/>
      <c r="AO51" s="7">
        <f t="shared" si="0"/>
        <v>0</v>
      </c>
    </row>
    <row r="52" spans="1:41" ht="39.950000000000003" customHeight="1" x14ac:dyDescent="0.25">
      <c r="A52" s="6"/>
      <c r="B52" s="6"/>
      <c r="C52" s="12" t="s">
        <v>101</v>
      </c>
      <c r="D52" s="12" t="s">
        <v>102</v>
      </c>
      <c r="E52" s="13">
        <v>103017609</v>
      </c>
      <c r="F52" s="14" t="s">
        <v>191</v>
      </c>
      <c r="G52" s="12" t="s">
        <v>40</v>
      </c>
      <c r="H52" s="6"/>
      <c r="I52" s="12" t="s">
        <v>599</v>
      </c>
      <c r="J52" s="6"/>
      <c r="K52" s="6"/>
      <c r="L52" s="12" t="s">
        <v>1075</v>
      </c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29">
        <f>511*7</f>
        <v>3577</v>
      </c>
      <c r="AL52" s="18"/>
      <c r="AM52" s="5"/>
      <c r="AN52" s="5"/>
      <c r="AO52" s="7">
        <f t="shared" si="0"/>
        <v>0</v>
      </c>
    </row>
    <row r="53" spans="1:41" ht="39.950000000000003" customHeight="1" x14ac:dyDescent="0.25">
      <c r="A53" s="6"/>
      <c r="B53" s="6"/>
      <c r="C53" s="12" t="s">
        <v>101</v>
      </c>
      <c r="D53" s="12" t="s">
        <v>102</v>
      </c>
      <c r="E53" s="13">
        <v>103020104</v>
      </c>
      <c r="F53" s="14" t="s">
        <v>276</v>
      </c>
      <c r="G53" s="12" t="s">
        <v>58</v>
      </c>
      <c r="H53" s="6"/>
      <c r="I53" s="12" t="s">
        <v>618</v>
      </c>
      <c r="J53" s="6"/>
      <c r="K53" s="6"/>
      <c r="L53" s="12" t="s">
        <v>730</v>
      </c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29">
        <f>63*7</f>
        <v>441</v>
      </c>
      <c r="AL53" s="18"/>
      <c r="AM53" s="5"/>
      <c r="AN53" s="5"/>
      <c r="AO53" s="7">
        <f t="shared" si="0"/>
        <v>0</v>
      </c>
    </row>
    <row r="54" spans="1:41" ht="39.950000000000003" customHeight="1" x14ac:dyDescent="0.25">
      <c r="A54" s="6"/>
      <c r="B54" s="6"/>
      <c r="C54" s="12" t="s">
        <v>101</v>
      </c>
      <c r="D54" s="12" t="s">
        <v>102</v>
      </c>
      <c r="E54" s="13">
        <v>103020105</v>
      </c>
      <c r="F54" s="14" t="s">
        <v>1004</v>
      </c>
      <c r="G54" s="12" t="s">
        <v>58</v>
      </c>
      <c r="H54" s="6"/>
      <c r="I54" s="12" t="s">
        <v>618</v>
      </c>
      <c r="J54" s="6"/>
      <c r="K54" s="6"/>
      <c r="L54" s="12" t="s">
        <v>730</v>
      </c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29">
        <f>5*7</f>
        <v>35</v>
      </c>
      <c r="AL54" s="18"/>
      <c r="AM54" s="5"/>
      <c r="AN54" s="5"/>
      <c r="AO54" s="7">
        <f t="shared" si="0"/>
        <v>0</v>
      </c>
    </row>
    <row r="55" spans="1:41" ht="39.950000000000003" customHeight="1" x14ac:dyDescent="0.25">
      <c r="A55" s="6"/>
      <c r="B55" s="6"/>
      <c r="C55" s="12" t="s">
        <v>101</v>
      </c>
      <c r="D55" s="12" t="s">
        <v>102</v>
      </c>
      <c r="E55" s="13">
        <v>103020408</v>
      </c>
      <c r="F55" s="14" t="s">
        <v>1005</v>
      </c>
      <c r="G55" s="12" t="s">
        <v>40</v>
      </c>
      <c r="H55" s="6"/>
      <c r="I55" s="12" t="s">
        <v>596</v>
      </c>
      <c r="J55" s="6"/>
      <c r="K55" s="6"/>
      <c r="L55" s="12" t="s">
        <v>728</v>
      </c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29">
        <f>100*7</f>
        <v>700</v>
      </c>
      <c r="AL55" s="18"/>
      <c r="AM55" s="5"/>
      <c r="AN55" s="5"/>
      <c r="AO55" s="7">
        <f t="shared" si="0"/>
        <v>0</v>
      </c>
    </row>
    <row r="56" spans="1:41" ht="39.950000000000003" customHeight="1" x14ac:dyDescent="0.25">
      <c r="A56" s="6"/>
      <c r="B56" s="6"/>
      <c r="C56" s="12" t="s">
        <v>101</v>
      </c>
      <c r="D56" s="12" t="s">
        <v>102</v>
      </c>
      <c r="E56" s="13">
        <v>103020409</v>
      </c>
      <c r="F56" s="14" t="s">
        <v>115</v>
      </c>
      <c r="G56" s="12" t="s">
        <v>40</v>
      </c>
      <c r="H56" s="6"/>
      <c r="I56" s="12" t="s">
        <v>596</v>
      </c>
      <c r="J56" s="6"/>
      <c r="K56" s="6"/>
      <c r="L56" s="12" t="s">
        <v>727</v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29">
        <f>3746*7</f>
        <v>26222</v>
      </c>
      <c r="AL56" s="18"/>
      <c r="AM56" s="5"/>
      <c r="AN56" s="5"/>
      <c r="AO56" s="7">
        <f t="shared" si="0"/>
        <v>0</v>
      </c>
    </row>
    <row r="57" spans="1:41" ht="39.950000000000003" customHeight="1" x14ac:dyDescent="0.25">
      <c r="A57" s="6"/>
      <c r="B57" s="6"/>
      <c r="C57" s="12" t="s">
        <v>101</v>
      </c>
      <c r="D57" s="12" t="s">
        <v>102</v>
      </c>
      <c r="E57" s="13">
        <v>103030209</v>
      </c>
      <c r="F57" s="14" t="s">
        <v>33</v>
      </c>
      <c r="G57" s="12" t="s">
        <v>38</v>
      </c>
      <c r="H57" s="6"/>
      <c r="I57" s="12" t="s">
        <v>705</v>
      </c>
      <c r="J57" s="6"/>
      <c r="K57" s="6"/>
      <c r="L57" s="12" t="s">
        <v>767</v>
      </c>
      <c r="M57" s="6"/>
      <c r="N57" s="6"/>
      <c r="O57" s="6"/>
      <c r="P57" s="9"/>
      <c r="Q57" s="9"/>
      <c r="R57" s="9"/>
      <c r="S57" s="9"/>
      <c r="T57" s="9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29">
        <f>15545*7</f>
        <v>108815</v>
      </c>
      <c r="AL57" s="18"/>
      <c r="AM57" s="5"/>
      <c r="AN57" s="5"/>
      <c r="AO57" s="7">
        <f t="shared" si="0"/>
        <v>0</v>
      </c>
    </row>
    <row r="58" spans="1:41" ht="39.950000000000003" customHeight="1" x14ac:dyDescent="0.25">
      <c r="A58" s="6"/>
      <c r="B58" s="6"/>
      <c r="C58" s="12" t="s">
        <v>101</v>
      </c>
      <c r="D58" s="12" t="s">
        <v>102</v>
      </c>
      <c r="E58" s="13">
        <v>103030309</v>
      </c>
      <c r="F58" s="14" t="s">
        <v>173</v>
      </c>
      <c r="G58" s="12" t="s">
        <v>40</v>
      </c>
      <c r="H58" s="6"/>
      <c r="I58" s="12" t="s">
        <v>626</v>
      </c>
      <c r="J58" s="6"/>
      <c r="K58" s="6"/>
      <c r="L58" s="12" t="s">
        <v>740</v>
      </c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29">
        <f>632*7</f>
        <v>4424</v>
      </c>
      <c r="AL58" s="18"/>
      <c r="AM58" s="5"/>
      <c r="AN58" s="5"/>
      <c r="AO58" s="7">
        <f t="shared" si="0"/>
        <v>0</v>
      </c>
    </row>
    <row r="59" spans="1:41" ht="39.950000000000003" customHeight="1" x14ac:dyDescent="0.25">
      <c r="A59" s="6"/>
      <c r="B59" s="6"/>
      <c r="C59" s="12" t="s">
        <v>101</v>
      </c>
      <c r="D59" s="12" t="s">
        <v>102</v>
      </c>
      <c r="E59" s="13">
        <v>103040109</v>
      </c>
      <c r="F59" s="14" t="s">
        <v>118</v>
      </c>
      <c r="G59" s="12" t="s">
        <v>40</v>
      </c>
      <c r="H59" s="6"/>
      <c r="I59" s="12" t="s">
        <v>599</v>
      </c>
      <c r="J59" s="6"/>
      <c r="K59" s="6"/>
      <c r="L59" s="12" t="s">
        <v>729</v>
      </c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29">
        <f>525*7</f>
        <v>3675</v>
      </c>
      <c r="AL59" s="18"/>
      <c r="AM59" s="5"/>
      <c r="AN59" s="5"/>
      <c r="AO59" s="7">
        <f t="shared" si="0"/>
        <v>0</v>
      </c>
    </row>
    <row r="60" spans="1:41" ht="39.950000000000003" customHeight="1" x14ac:dyDescent="0.25">
      <c r="A60" s="6"/>
      <c r="B60" s="6"/>
      <c r="C60" s="12" t="s">
        <v>101</v>
      </c>
      <c r="D60" s="12" t="s">
        <v>102</v>
      </c>
      <c r="E60" s="13">
        <v>103040204</v>
      </c>
      <c r="F60" s="14" t="s">
        <v>151</v>
      </c>
      <c r="G60" s="12" t="s">
        <v>58</v>
      </c>
      <c r="H60" s="6"/>
      <c r="I60" s="12" t="s">
        <v>618</v>
      </c>
      <c r="J60" s="6"/>
      <c r="K60" s="6"/>
      <c r="L60" s="12" t="s">
        <v>734</v>
      </c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29">
        <f>118*7</f>
        <v>826</v>
      </c>
      <c r="AL60" s="18"/>
      <c r="AM60" s="5"/>
      <c r="AN60" s="5"/>
      <c r="AO60" s="7">
        <f t="shared" si="0"/>
        <v>0</v>
      </c>
    </row>
    <row r="61" spans="1:41" ht="39.950000000000003" customHeight="1" x14ac:dyDescent="0.25">
      <c r="A61" s="6"/>
      <c r="B61" s="6"/>
      <c r="C61" s="12" t="s">
        <v>101</v>
      </c>
      <c r="D61" s="12" t="s">
        <v>102</v>
      </c>
      <c r="E61" s="13">
        <v>103040408</v>
      </c>
      <c r="F61" s="14" t="s">
        <v>949</v>
      </c>
      <c r="G61" s="12" t="s">
        <v>947</v>
      </c>
      <c r="H61" s="6"/>
      <c r="I61" s="12" t="s">
        <v>616</v>
      </c>
      <c r="J61" s="6"/>
      <c r="K61" s="6"/>
      <c r="L61" s="12" t="s">
        <v>1076</v>
      </c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29">
        <f>300*7</f>
        <v>2100</v>
      </c>
      <c r="AL61" s="18"/>
      <c r="AM61" s="5"/>
      <c r="AN61" s="5"/>
      <c r="AO61" s="7">
        <f t="shared" si="0"/>
        <v>0</v>
      </c>
    </row>
    <row r="62" spans="1:41" ht="39.950000000000003" customHeight="1" x14ac:dyDescent="0.25">
      <c r="A62" s="6"/>
      <c r="B62" s="6"/>
      <c r="C62" s="12" t="s">
        <v>101</v>
      </c>
      <c r="D62" s="12" t="s">
        <v>102</v>
      </c>
      <c r="E62" s="13">
        <v>103040409</v>
      </c>
      <c r="F62" s="14" t="s">
        <v>34</v>
      </c>
      <c r="G62" s="12" t="s">
        <v>38</v>
      </c>
      <c r="H62" s="6"/>
      <c r="I62" s="12" t="s">
        <v>1077</v>
      </c>
      <c r="J62" s="6"/>
      <c r="K62" s="6"/>
      <c r="L62" s="12" t="s">
        <v>891</v>
      </c>
      <c r="M62" s="6"/>
      <c r="N62" s="6"/>
      <c r="O62" s="6"/>
      <c r="P62" s="9"/>
      <c r="Q62" s="9"/>
      <c r="R62" s="9"/>
      <c r="S62" s="9"/>
      <c r="T62" s="9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29">
        <f>2133*7</f>
        <v>14931</v>
      </c>
      <c r="AL62" s="18"/>
      <c r="AM62" s="5"/>
      <c r="AN62" s="5"/>
      <c r="AO62" s="7">
        <f t="shared" si="0"/>
        <v>0</v>
      </c>
    </row>
    <row r="63" spans="1:41" ht="39.950000000000003" customHeight="1" x14ac:dyDescent="0.25">
      <c r="A63" s="6"/>
      <c r="B63" s="6"/>
      <c r="C63" s="12" t="s">
        <v>101</v>
      </c>
      <c r="D63" s="12" t="s">
        <v>102</v>
      </c>
      <c r="E63" s="13">
        <v>103040603</v>
      </c>
      <c r="F63" s="14" t="s">
        <v>950</v>
      </c>
      <c r="G63" s="12" t="s">
        <v>60</v>
      </c>
      <c r="H63" s="6"/>
      <c r="I63" s="12" t="s">
        <v>605</v>
      </c>
      <c r="J63" s="6"/>
      <c r="K63" s="6"/>
      <c r="L63" s="12" t="s">
        <v>1078</v>
      </c>
      <c r="M63" s="6"/>
      <c r="N63" s="6"/>
      <c r="O63" s="6"/>
      <c r="P63" s="9"/>
      <c r="Q63" s="9"/>
      <c r="R63" s="9"/>
      <c r="S63" s="9"/>
      <c r="T63" s="9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29">
        <f>10*7</f>
        <v>70</v>
      </c>
      <c r="AL63" s="18"/>
      <c r="AM63" s="5"/>
      <c r="AN63" s="5"/>
      <c r="AO63" s="7">
        <f t="shared" si="0"/>
        <v>0</v>
      </c>
    </row>
    <row r="64" spans="1:41" ht="39.950000000000003" customHeight="1" x14ac:dyDescent="0.25">
      <c r="A64" s="6"/>
      <c r="B64" s="6"/>
      <c r="C64" s="12" t="s">
        <v>101</v>
      </c>
      <c r="D64" s="12" t="s">
        <v>102</v>
      </c>
      <c r="E64" s="13">
        <v>103040604</v>
      </c>
      <c r="F64" s="14" t="s">
        <v>1006</v>
      </c>
      <c r="G64" s="12" t="s">
        <v>60</v>
      </c>
      <c r="H64" s="6"/>
      <c r="I64" s="12" t="s">
        <v>605</v>
      </c>
      <c r="J64" s="6"/>
      <c r="K64" s="6"/>
      <c r="L64" s="12" t="s">
        <v>1078</v>
      </c>
      <c r="M64" s="6"/>
      <c r="N64" s="6"/>
      <c r="O64" s="6"/>
      <c r="P64" s="9"/>
      <c r="Q64" s="9"/>
      <c r="R64" s="9"/>
      <c r="S64" s="9"/>
      <c r="T64" s="9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29">
        <f>12*7</f>
        <v>84</v>
      </c>
      <c r="AL64" s="18"/>
      <c r="AM64" s="5"/>
      <c r="AN64" s="5"/>
      <c r="AO64" s="7">
        <f t="shared" si="0"/>
        <v>0</v>
      </c>
    </row>
    <row r="65" spans="1:41" ht="39.950000000000003" customHeight="1" x14ac:dyDescent="0.25">
      <c r="A65" s="6"/>
      <c r="B65" s="6"/>
      <c r="C65" s="12" t="s">
        <v>101</v>
      </c>
      <c r="D65" s="12" t="s">
        <v>102</v>
      </c>
      <c r="E65" s="13">
        <v>103061209</v>
      </c>
      <c r="F65" s="14" t="s">
        <v>114</v>
      </c>
      <c r="G65" s="12" t="s">
        <v>38</v>
      </c>
      <c r="H65" s="6"/>
      <c r="I65" s="12" t="s">
        <v>595</v>
      </c>
      <c r="J65" s="6"/>
      <c r="K65" s="6"/>
      <c r="L65" s="12" t="s">
        <v>726</v>
      </c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29">
        <f>20*7</f>
        <v>140</v>
      </c>
      <c r="AL65" s="18"/>
      <c r="AM65" s="5"/>
      <c r="AN65" s="5"/>
      <c r="AO65" s="7">
        <f t="shared" si="0"/>
        <v>0</v>
      </c>
    </row>
    <row r="66" spans="1:41" ht="39.950000000000003" customHeight="1" x14ac:dyDescent="0.25">
      <c r="A66" s="6"/>
      <c r="B66" s="6"/>
      <c r="C66" s="12" t="s">
        <v>101</v>
      </c>
      <c r="D66" s="12" t="s">
        <v>102</v>
      </c>
      <c r="E66" s="13">
        <v>103070303</v>
      </c>
      <c r="F66" s="14" t="s">
        <v>364</v>
      </c>
      <c r="G66" s="12" t="s">
        <v>365</v>
      </c>
      <c r="H66" s="6"/>
      <c r="I66" s="12" t="s">
        <v>1079</v>
      </c>
      <c r="J66" s="6"/>
      <c r="K66" s="6"/>
      <c r="L66" s="12" t="s">
        <v>827</v>
      </c>
      <c r="M66" s="6"/>
      <c r="N66" s="6"/>
      <c r="O66" s="6"/>
      <c r="P66" s="9"/>
      <c r="Q66" s="9"/>
      <c r="R66" s="9"/>
      <c r="S66" s="9"/>
      <c r="T66" s="9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29">
        <f>583*7</f>
        <v>4081</v>
      </c>
      <c r="AL66" s="18"/>
      <c r="AM66" s="5"/>
      <c r="AN66" s="5"/>
      <c r="AO66" s="7">
        <f t="shared" si="0"/>
        <v>0</v>
      </c>
    </row>
    <row r="67" spans="1:41" ht="39.950000000000003" customHeight="1" x14ac:dyDescent="0.25">
      <c r="A67" s="6"/>
      <c r="B67" s="6"/>
      <c r="C67" s="12" t="s">
        <v>101</v>
      </c>
      <c r="D67" s="12" t="s">
        <v>102</v>
      </c>
      <c r="E67" s="13">
        <v>104010104</v>
      </c>
      <c r="F67" s="14" t="s">
        <v>230</v>
      </c>
      <c r="G67" s="12" t="s">
        <v>58</v>
      </c>
      <c r="H67" s="6"/>
      <c r="I67" s="12" t="s">
        <v>612</v>
      </c>
      <c r="J67" s="6"/>
      <c r="K67" s="6"/>
      <c r="L67" s="12" t="s">
        <v>727</v>
      </c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29">
        <f>70*7</f>
        <v>490</v>
      </c>
      <c r="AL67" s="18"/>
      <c r="AM67" s="5"/>
      <c r="AN67" s="5"/>
      <c r="AO67" s="7">
        <f t="shared" si="0"/>
        <v>0</v>
      </c>
    </row>
    <row r="68" spans="1:41" ht="39.950000000000003" customHeight="1" x14ac:dyDescent="0.25">
      <c r="A68" s="6"/>
      <c r="B68" s="6"/>
      <c r="C68" s="12" t="s">
        <v>101</v>
      </c>
      <c r="D68" s="12" t="s">
        <v>102</v>
      </c>
      <c r="E68" s="13">
        <v>104010209</v>
      </c>
      <c r="F68" s="14" t="s">
        <v>134</v>
      </c>
      <c r="G68" s="12" t="s">
        <v>40</v>
      </c>
      <c r="H68" s="6"/>
      <c r="I68" s="12" t="s">
        <v>1080</v>
      </c>
      <c r="J68" s="6"/>
      <c r="K68" s="6"/>
      <c r="L68" s="12" t="s">
        <v>730</v>
      </c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29">
        <f>10947*7</f>
        <v>76629</v>
      </c>
      <c r="AL68" s="18"/>
      <c r="AM68" s="5"/>
      <c r="AN68" s="5"/>
      <c r="AO68" s="7">
        <f t="shared" si="0"/>
        <v>0</v>
      </c>
    </row>
    <row r="69" spans="1:41" ht="39.950000000000003" customHeight="1" x14ac:dyDescent="0.25">
      <c r="A69" s="6"/>
      <c r="B69" s="6"/>
      <c r="C69" s="12" t="s">
        <v>101</v>
      </c>
      <c r="D69" s="12" t="s">
        <v>102</v>
      </c>
      <c r="E69" s="13">
        <v>104010304</v>
      </c>
      <c r="F69" s="14" t="s">
        <v>132</v>
      </c>
      <c r="G69" s="12" t="s">
        <v>58</v>
      </c>
      <c r="H69" s="6"/>
      <c r="I69" s="12" t="s">
        <v>607</v>
      </c>
      <c r="J69" s="6"/>
      <c r="K69" s="6"/>
      <c r="L69" s="12" t="s">
        <v>737</v>
      </c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29">
        <f>46*7</f>
        <v>322</v>
      </c>
      <c r="AL69" s="18"/>
      <c r="AM69" s="5"/>
      <c r="AN69" s="5"/>
      <c r="AO69" s="7">
        <f t="shared" si="0"/>
        <v>0</v>
      </c>
    </row>
    <row r="70" spans="1:41" ht="39.950000000000003" customHeight="1" x14ac:dyDescent="0.25">
      <c r="A70" s="6"/>
      <c r="B70" s="6"/>
      <c r="C70" s="12" t="s">
        <v>101</v>
      </c>
      <c r="D70" s="12" t="s">
        <v>102</v>
      </c>
      <c r="E70" s="13">
        <v>104010409</v>
      </c>
      <c r="F70" s="14" t="s">
        <v>461</v>
      </c>
      <c r="G70" s="12" t="s">
        <v>40</v>
      </c>
      <c r="H70" s="6"/>
      <c r="I70" s="12" t="s">
        <v>608</v>
      </c>
      <c r="J70" s="6"/>
      <c r="K70" s="6"/>
      <c r="L70" s="12" t="s">
        <v>859</v>
      </c>
      <c r="M70" s="6"/>
      <c r="N70" s="6"/>
      <c r="O70" s="6"/>
      <c r="P70" s="9"/>
      <c r="Q70" s="9"/>
      <c r="R70" s="9"/>
      <c r="S70" s="9"/>
      <c r="T70" s="9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29">
        <f>4013*7</f>
        <v>28091</v>
      </c>
      <c r="AL70" s="18"/>
      <c r="AM70" s="5"/>
      <c r="AN70" s="5"/>
      <c r="AO70" s="7">
        <f t="shared" si="0"/>
        <v>0</v>
      </c>
    </row>
    <row r="71" spans="1:41" ht="39.950000000000003" customHeight="1" x14ac:dyDescent="0.25">
      <c r="A71" s="6"/>
      <c r="B71" s="6"/>
      <c r="C71" s="12" t="s">
        <v>101</v>
      </c>
      <c r="D71" s="12" t="s">
        <v>102</v>
      </c>
      <c r="E71" s="13">
        <v>104020104</v>
      </c>
      <c r="F71" s="14" t="s">
        <v>231</v>
      </c>
      <c r="G71" s="12" t="s">
        <v>58</v>
      </c>
      <c r="H71" s="6"/>
      <c r="I71" s="12" t="s">
        <v>1081</v>
      </c>
      <c r="J71" s="6"/>
      <c r="K71" s="6"/>
      <c r="L71" s="12" t="s">
        <v>727</v>
      </c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29">
        <f>1488*7</f>
        <v>10416</v>
      </c>
      <c r="AL71" s="18"/>
      <c r="AM71" s="5"/>
      <c r="AN71" s="5"/>
      <c r="AO71" s="7">
        <f t="shared" si="0"/>
        <v>0</v>
      </c>
    </row>
    <row r="72" spans="1:41" ht="39.950000000000003" customHeight="1" x14ac:dyDescent="0.25">
      <c r="A72" s="6"/>
      <c r="B72" s="6"/>
      <c r="C72" s="12" t="s">
        <v>101</v>
      </c>
      <c r="D72" s="12" t="s">
        <v>102</v>
      </c>
      <c r="E72" s="13">
        <v>104020209</v>
      </c>
      <c r="F72" s="14" t="s">
        <v>140</v>
      </c>
      <c r="G72" s="12" t="s">
        <v>40</v>
      </c>
      <c r="H72" s="6"/>
      <c r="I72" s="12" t="s">
        <v>613</v>
      </c>
      <c r="J72" s="6"/>
      <c r="K72" s="6"/>
      <c r="L72" s="12" t="s">
        <v>740</v>
      </c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29">
        <f>2588*7</f>
        <v>18116</v>
      </c>
      <c r="AL72" s="18"/>
      <c r="AM72" s="5"/>
      <c r="AN72" s="5"/>
      <c r="AO72" s="7">
        <f t="shared" ref="AO72:AO135" si="1">(AM72*AN72+AM72)*AL72</f>
        <v>0</v>
      </c>
    </row>
    <row r="73" spans="1:41" ht="39.950000000000003" customHeight="1" x14ac:dyDescent="0.25">
      <c r="A73" s="6"/>
      <c r="B73" s="6"/>
      <c r="C73" s="12" t="s">
        <v>101</v>
      </c>
      <c r="D73" s="12" t="s">
        <v>102</v>
      </c>
      <c r="E73" s="13">
        <v>104020504</v>
      </c>
      <c r="F73" s="14" t="s">
        <v>206</v>
      </c>
      <c r="G73" s="12" t="s">
        <v>58</v>
      </c>
      <c r="H73" s="6"/>
      <c r="I73" s="12" t="s">
        <v>607</v>
      </c>
      <c r="J73" s="6"/>
      <c r="K73" s="6"/>
      <c r="L73" s="12" t="s">
        <v>727</v>
      </c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29">
        <f>44*7</f>
        <v>308</v>
      </c>
      <c r="AL73" s="18"/>
      <c r="AM73" s="5"/>
      <c r="AN73" s="5"/>
      <c r="AO73" s="7">
        <f t="shared" si="1"/>
        <v>0</v>
      </c>
    </row>
    <row r="74" spans="1:41" ht="39.950000000000003" customHeight="1" x14ac:dyDescent="0.25">
      <c r="A74" s="6"/>
      <c r="B74" s="6"/>
      <c r="C74" s="12" t="s">
        <v>101</v>
      </c>
      <c r="D74" s="12" t="s">
        <v>102</v>
      </c>
      <c r="E74" s="13">
        <v>104030109</v>
      </c>
      <c r="F74" s="14" t="s">
        <v>1082</v>
      </c>
      <c r="G74" s="12" t="s">
        <v>40</v>
      </c>
      <c r="H74" s="6"/>
      <c r="I74" s="12" t="s">
        <v>635</v>
      </c>
      <c r="J74" s="6"/>
      <c r="K74" s="6"/>
      <c r="L74" s="12" t="s">
        <v>829</v>
      </c>
      <c r="M74" s="6"/>
      <c r="N74" s="6"/>
      <c r="O74" s="6"/>
      <c r="P74" s="9"/>
      <c r="Q74" s="9"/>
      <c r="R74" s="9"/>
      <c r="S74" s="9"/>
      <c r="T74" s="9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29">
        <f>1557*7</f>
        <v>10899</v>
      </c>
      <c r="AL74" s="18"/>
      <c r="AM74" s="5"/>
      <c r="AN74" s="5"/>
      <c r="AO74" s="7">
        <f t="shared" si="1"/>
        <v>0</v>
      </c>
    </row>
    <row r="75" spans="1:41" ht="39.950000000000003" customHeight="1" x14ac:dyDescent="0.25">
      <c r="A75" s="6"/>
      <c r="B75" s="6"/>
      <c r="C75" s="12" t="s">
        <v>101</v>
      </c>
      <c r="D75" s="12" t="s">
        <v>102</v>
      </c>
      <c r="E75" s="13">
        <v>105010109</v>
      </c>
      <c r="F75" s="14" t="s">
        <v>288</v>
      </c>
      <c r="G75" s="12" t="s">
        <v>40</v>
      </c>
      <c r="H75" s="6"/>
      <c r="I75" s="12" t="s">
        <v>1083</v>
      </c>
      <c r="J75" s="6"/>
      <c r="K75" s="6"/>
      <c r="L75" s="12" t="s">
        <v>798</v>
      </c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29">
        <f>2537*7</f>
        <v>17759</v>
      </c>
      <c r="AL75" s="18"/>
      <c r="AM75" s="5"/>
      <c r="AN75" s="5"/>
      <c r="AO75" s="7">
        <f t="shared" si="1"/>
        <v>0</v>
      </c>
    </row>
    <row r="76" spans="1:41" ht="39.950000000000003" customHeight="1" x14ac:dyDescent="0.25">
      <c r="A76" s="6"/>
      <c r="B76" s="6"/>
      <c r="C76" s="12" t="s">
        <v>101</v>
      </c>
      <c r="D76" s="12" t="s">
        <v>102</v>
      </c>
      <c r="E76" s="13">
        <v>105010209</v>
      </c>
      <c r="F76" s="14" t="s">
        <v>339</v>
      </c>
      <c r="G76" s="12" t="s">
        <v>40</v>
      </c>
      <c r="H76" s="6"/>
      <c r="I76" s="12" t="s">
        <v>1084</v>
      </c>
      <c r="J76" s="6"/>
      <c r="K76" s="6"/>
      <c r="L76" s="12" t="s">
        <v>815</v>
      </c>
      <c r="M76" s="6"/>
      <c r="N76" s="6"/>
      <c r="O76" s="6"/>
      <c r="P76" s="9"/>
      <c r="Q76" s="9"/>
      <c r="R76" s="9"/>
      <c r="S76" s="9"/>
      <c r="T76" s="9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29">
        <f>14534*7</f>
        <v>101738</v>
      </c>
      <c r="AL76" s="18"/>
      <c r="AM76" s="5"/>
      <c r="AN76" s="5"/>
      <c r="AO76" s="7">
        <f t="shared" si="1"/>
        <v>0</v>
      </c>
    </row>
    <row r="77" spans="1:41" ht="39.950000000000003" customHeight="1" x14ac:dyDescent="0.25">
      <c r="A77" s="6"/>
      <c r="B77" s="6"/>
      <c r="C77" s="12" t="s">
        <v>101</v>
      </c>
      <c r="D77" s="12" t="s">
        <v>102</v>
      </c>
      <c r="E77" s="13">
        <v>105010509</v>
      </c>
      <c r="F77" s="14" t="s">
        <v>122</v>
      </c>
      <c r="G77" s="12" t="s">
        <v>40</v>
      </c>
      <c r="H77" s="6"/>
      <c r="I77" s="12" t="s">
        <v>596</v>
      </c>
      <c r="J77" s="6"/>
      <c r="K77" s="6"/>
      <c r="L77" s="12" t="s">
        <v>731</v>
      </c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29">
        <f>45055*7</f>
        <v>315385</v>
      </c>
      <c r="AL77" s="18"/>
      <c r="AM77" s="5"/>
      <c r="AN77" s="5"/>
      <c r="AO77" s="7">
        <f t="shared" si="1"/>
        <v>0</v>
      </c>
    </row>
    <row r="78" spans="1:41" ht="39.950000000000003" customHeight="1" x14ac:dyDescent="0.25">
      <c r="A78" s="6"/>
      <c r="B78" s="6"/>
      <c r="C78" s="12" t="s">
        <v>101</v>
      </c>
      <c r="D78" s="12" t="s">
        <v>102</v>
      </c>
      <c r="E78" s="13">
        <v>105010601</v>
      </c>
      <c r="F78" s="14" t="s">
        <v>35</v>
      </c>
      <c r="G78" s="12" t="s">
        <v>38</v>
      </c>
      <c r="H78" s="6"/>
      <c r="I78" s="12" t="s">
        <v>707</v>
      </c>
      <c r="J78" s="6"/>
      <c r="K78" s="6"/>
      <c r="L78" s="12" t="s">
        <v>804</v>
      </c>
      <c r="M78" s="6"/>
      <c r="N78" s="6"/>
      <c r="O78" s="6"/>
      <c r="P78" s="9"/>
      <c r="Q78" s="9"/>
      <c r="R78" s="9"/>
      <c r="S78" s="9"/>
      <c r="T78" s="9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29">
        <f>325*7</f>
        <v>2275</v>
      </c>
      <c r="AL78" s="18"/>
      <c r="AM78" s="5"/>
      <c r="AN78" s="5"/>
      <c r="AO78" s="7">
        <f t="shared" si="1"/>
        <v>0</v>
      </c>
    </row>
    <row r="79" spans="1:41" ht="39.950000000000003" customHeight="1" x14ac:dyDescent="0.25">
      <c r="A79" s="6"/>
      <c r="B79" s="6"/>
      <c r="C79" s="12" t="s">
        <v>101</v>
      </c>
      <c r="D79" s="12" t="s">
        <v>102</v>
      </c>
      <c r="E79" s="13">
        <v>105010609</v>
      </c>
      <c r="F79" s="14" t="s">
        <v>36</v>
      </c>
      <c r="G79" s="12" t="s">
        <v>38</v>
      </c>
      <c r="H79" s="6"/>
      <c r="I79" s="12" t="s">
        <v>1085</v>
      </c>
      <c r="J79" s="6"/>
      <c r="K79" s="6"/>
      <c r="L79" s="12" t="s">
        <v>892</v>
      </c>
      <c r="M79" s="6"/>
      <c r="N79" s="6"/>
      <c r="O79" s="6"/>
      <c r="P79" s="9"/>
      <c r="Q79" s="9"/>
      <c r="R79" s="9"/>
      <c r="S79" s="9"/>
      <c r="T79" s="9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29">
        <f>122380*7</f>
        <v>856660</v>
      </c>
      <c r="AL79" s="18"/>
      <c r="AM79" s="5"/>
      <c r="AN79" s="5"/>
      <c r="AO79" s="7">
        <f t="shared" si="1"/>
        <v>0</v>
      </c>
    </row>
    <row r="80" spans="1:41" ht="39.950000000000003" customHeight="1" x14ac:dyDescent="0.25">
      <c r="A80" s="6"/>
      <c r="B80" s="6"/>
      <c r="C80" s="12" t="s">
        <v>101</v>
      </c>
      <c r="D80" s="12" t="s">
        <v>102</v>
      </c>
      <c r="E80" s="13">
        <v>105010709</v>
      </c>
      <c r="F80" s="14" t="s">
        <v>137</v>
      </c>
      <c r="G80" s="12" t="s">
        <v>40</v>
      </c>
      <c r="H80" s="6"/>
      <c r="I80" s="12" t="s">
        <v>597</v>
      </c>
      <c r="J80" s="6"/>
      <c r="K80" s="6"/>
      <c r="L80" s="12" t="s">
        <v>727</v>
      </c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29">
        <f>563797*7</f>
        <v>3946579</v>
      </c>
      <c r="AL80" s="18"/>
      <c r="AM80" s="5"/>
      <c r="AN80" s="5"/>
      <c r="AO80" s="7">
        <f t="shared" si="1"/>
        <v>0</v>
      </c>
    </row>
    <row r="81" spans="1:41" ht="39.950000000000003" customHeight="1" x14ac:dyDescent="0.25">
      <c r="A81" s="6"/>
      <c r="B81" s="6"/>
      <c r="C81" s="12" t="s">
        <v>101</v>
      </c>
      <c r="D81" s="12" t="s">
        <v>102</v>
      </c>
      <c r="E81" s="13">
        <v>105010710</v>
      </c>
      <c r="F81" s="14" t="s">
        <v>951</v>
      </c>
      <c r="G81" s="12" t="s">
        <v>40</v>
      </c>
      <c r="H81" s="6"/>
      <c r="I81" s="12" t="s">
        <v>597</v>
      </c>
      <c r="J81" s="6"/>
      <c r="K81" s="6"/>
      <c r="L81" s="12" t="s">
        <v>727</v>
      </c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29">
        <f>8164*7</f>
        <v>57148</v>
      </c>
      <c r="AL81" s="18"/>
      <c r="AM81" s="5"/>
      <c r="AN81" s="5"/>
      <c r="AO81" s="7">
        <f t="shared" si="1"/>
        <v>0</v>
      </c>
    </row>
    <row r="82" spans="1:41" ht="39.950000000000003" customHeight="1" x14ac:dyDescent="0.25">
      <c r="A82" s="6"/>
      <c r="B82" s="6"/>
      <c r="C82" s="12" t="s">
        <v>101</v>
      </c>
      <c r="D82" s="12" t="s">
        <v>102</v>
      </c>
      <c r="E82" s="13">
        <v>105011203</v>
      </c>
      <c r="F82" s="14" t="s">
        <v>261</v>
      </c>
      <c r="G82" s="12" t="s">
        <v>63</v>
      </c>
      <c r="H82" s="6"/>
      <c r="I82" s="12" t="s">
        <v>1086</v>
      </c>
      <c r="J82" s="6"/>
      <c r="K82" s="6"/>
      <c r="L82" s="12" t="s">
        <v>780</v>
      </c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29">
        <f>11*7</f>
        <v>77</v>
      </c>
      <c r="AL82" s="18"/>
      <c r="AM82" s="5"/>
      <c r="AN82" s="5"/>
      <c r="AO82" s="7">
        <f t="shared" si="1"/>
        <v>0</v>
      </c>
    </row>
    <row r="83" spans="1:41" ht="39.950000000000003" customHeight="1" x14ac:dyDescent="0.25">
      <c r="A83" s="6"/>
      <c r="B83" s="6"/>
      <c r="C83" s="12" t="s">
        <v>101</v>
      </c>
      <c r="D83" s="12" t="s">
        <v>102</v>
      </c>
      <c r="E83" s="13">
        <v>105020303</v>
      </c>
      <c r="F83" s="14" t="s">
        <v>354</v>
      </c>
      <c r="G83" s="12" t="s">
        <v>41</v>
      </c>
      <c r="H83" s="6"/>
      <c r="I83" s="12" t="s">
        <v>603</v>
      </c>
      <c r="J83" s="6"/>
      <c r="K83" s="6"/>
      <c r="L83" s="12" t="s">
        <v>823</v>
      </c>
      <c r="M83" s="6"/>
      <c r="N83" s="6"/>
      <c r="O83" s="6"/>
      <c r="P83" s="9"/>
      <c r="Q83" s="9"/>
      <c r="R83" s="9"/>
      <c r="S83" s="9"/>
      <c r="T83" s="9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29">
        <f>34*7</f>
        <v>238</v>
      </c>
      <c r="AL83" s="18"/>
      <c r="AM83" s="5"/>
      <c r="AN83" s="5"/>
      <c r="AO83" s="7">
        <f t="shared" si="1"/>
        <v>0</v>
      </c>
    </row>
    <row r="84" spans="1:41" ht="39.950000000000003" customHeight="1" x14ac:dyDescent="0.25">
      <c r="A84" s="6"/>
      <c r="B84" s="6"/>
      <c r="C84" s="12" t="s">
        <v>101</v>
      </c>
      <c r="D84" s="12" t="s">
        <v>102</v>
      </c>
      <c r="E84" s="13">
        <v>105020409</v>
      </c>
      <c r="F84" s="14" t="s">
        <v>349</v>
      </c>
      <c r="G84" s="12" t="s">
        <v>40</v>
      </c>
      <c r="H84" s="6"/>
      <c r="I84" s="12" t="s">
        <v>637</v>
      </c>
      <c r="J84" s="6"/>
      <c r="K84" s="6"/>
      <c r="L84" s="12" t="s">
        <v>797</v>
      </c>
      <c r="M84" s="6"/>
      <c r="N84" s="6"/>
      <c r="O84" s="6"/>
      <c r="P84" s="9"/>
      <c r="Q84" s="9"/>
      <c r="R84" s="9"/>
      <c r="S84" s="9"/>
      <c r="T84" s="9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29">
        <f>31764*7</f>
        <v>222348</v>
      </c>
      <c r="AL84" s="18"/>
      <c r="AM84" s="5"/>
      <c r="AN84" s="5"/>
      <c r="AO84" s="7">
        <f t="shared" si="1"/>
        <v>0</v>
      </c>
    </row>
    <row r="85" spans="1:41" ht="39.950000000000003" customHeight="1" x14ac:dyDescent="0.25">
      <c r="A85" s="6"/>
      <c r="B85" s="6"/>
      <c r="C85" s="12" t="s">
        <v>101</v>
      </c>
      <c r="D85" s="12" t="s">
        <v>102</v>
      </c>
      <c r="E85" s="13">
        <v>105020609</v>
      </c>
      <c r="F85" s="14" t="s">
        <v>371</v>
      </c>
      <c r="G85" s="12" t="s">
        <v>40</v>
      </c>
      <c r="H85" s="6"/>
      <c r="I85" s="12" t="s">
        <v>1087</v>
      </c>
      <c r="J85" s="6"/>
      <c r="K85" s="6"/>
      <c r="L85" s="12" t="s">
        <v>818</v>
      </c>
      <c r="M85" s="6"/>
      <c r="N85" s="6"/>
      <c r="O85" s="6"/>
      <c r="P85" s="9"/>
      <c r="Q85" s="9"/>
      <c r="R85" s="9"/>
      <c r="S85" s="9"/>
      <c r="T85" s="9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29">
        <f>76939*7</f>
        <v>538573</v>
      </c>
      <c r="AL85" s="18"/>
      <c r="AM85" s="5"/>
      <c r="AN85" s="5"/>
      <c r="AO85" s="7">
        <f t="shared" si="1"/>
        <v>0</v>
      </c>
    </row>
    <row r="86" spans="1:41" ht="39.950000000000003" customHeight="1" x14ac:dyDescent="0.25">
      <c r="A86" s="6"/>
      <c r="B86" s="6"/>
      <c r="C86" s="12" t="s">
        <v>101</v>
      </c>
      <c r="D86" s="12" t="s">
        <v>102</v>
      </c>
      <c r="E86" s="13">
        <v>105021209</v>
      </c>
      <c r="F86" s="14" t="s">
        <v>342</v>
      </c>
      <c r="G86" s="12" t="s">
        <v>40</v>
      </c>
      <c r="H86" s="6"/>
      <c r="I86" s="12" t="s">
        <v>1087</v>
      </c>
      <c r="J86" s="6"/>
      <c r="K86" s="6"/>
      <c r="L86" s="12" t="s">
        <v>818</v>
      </c>
      <c r="M86" s="6"/>
      <c r="N86" s="6"/>
      <c r="O86" s="6"/>
      <c r="P86" s="9"/>
      <c r="Q86" s="9"/>
      <c r="R86" s="9"/>
      <c r="S86" s="9"/>
      <c r="T86" s="9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29">
        <f>68108*7</f>
        <v>476756</v>
      </c>
      <c r="AL86" s="18"/>
      <c r="AM86" s="5"/>
      <c r="AN86" s="5"/>
      <c r="AO86" s="7">
        <f t="shared" si="1"/>
        <v>0</v>
      </c>
    </row>
    <row r="87" spans="1:41" ht="39.950000000000003" customHeight="1" x14ac:dyDescent="0.25">
      <c r="A87" s="6"/>
      <c r="B87" s="6"/>
      <c r="C87" s="12" t="s">
        <v>101</v>
      </c>
      <c r="D87" s="12" t="s">
        <v>102</v>
      </c>
      <c r="E87" s="13">
        <v>105021503</v>
      </c>
      <c r="F87" s="14" t="s">
        <v>952</v>
      </c>
      <c r="G87" s="12" t="s">
        <v>41</v>
      </c>
      <c r="H87" s="6"/>
      <c r="I87" s="12" t="s">
        <v>1086</v>
      </c>
      <c r="J87" s="6"/>
      <c r="K87" s="6"/>
      <c r="L87" s="12"/>
      <c r="M87" s="6"/>
      <c r="N87" s="6"/>
      <c r="O87" s="6"/>
      <c r="P87" s="9"/>
      <c r="Q87" s="9"/>
      <c r="R87" s="9"/>
      <c r="S87" s="9"/>
      <c r="T87" s="9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29">
        <f>27*7</f>
        <v>189</v>
      </c>
      <c r="AL87" s="18"/>
      <c r="AM87" s="5"/>
      <c r="AN87" s="5"/>
      <c r="AO87" s="7">
        <f t="shared" si="1"/>
        <v>0</v>
      </c>
    </row>
    <row r="88" spans="1:41" ht="39.950000000000003" customHeight="1" x14ac:dyDescent="0.25">
      <c r="A88" s="6"/>
      <c r="B88" s="6"/>
      <c r="C88" s="12" t="s">
        <v>101</v>
      </c>
      <c r="D88" s="12" t="s">
        <v>102</v>
      </c>
      <c r="E88" s="13">
        <v>105021529</v>
      </c>
      <c r="F88" s="14" t="s">
        <v>953</v>
      </c>
      <c r="G88" s="12" t="s">
        <v>40</v>
      </c>
      <c r="H88" s="6"/>
      <c r="I88" s="12" t="s">
        <v>1088</v>
      </c>
      <c r="J88" s="6"/>
      <c r="K88" s="6"/>
      <c r="L88" s="12"/>
      <c r="M88" s="6"/>
      <c r="N88" s="6"/>
      <c r="O88" s="6"/>
      <c r="P88" s="9"/>
      <c r="Q88" s="9"/>
      <c r="R88" s="9"/>
      <c r="S88" s="9"/>
      <c r="T88" s="9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29">
        <f>3805*7</f>
        <v>26635</v>
      </c>
      <c r="AL88" s="18"/>
      <c r="AM88" s="5"/>
      <c r="AN88" s="5"/>
      <c r="AO88" s="7">
        <f t="shared" si="1"/>
        <v>0</v>
      </c>
    </row>
    <row r="89" spans="1:41" ht="39.950000000000003" customHeight="1" x14ac:dyDescent="0.25">
      <c r="A89" s="6"/>
      <c r="B89" s="6"/>
      <c r="C89" s="12" t="s">
        <v>101</v>
      </c>
      <c r="D89" s="12" t="s">
        <v>102</v>
      </c>
      <c r="E89" s="13">
        <v>105021609</v>
      </c>
      <c r="F89" s="14" t="s">
        <v>119</v>
      </c>
      <c r="G89" s="12" t="s">
        <v>40</v>
      </c>
      <c r="H89" s="6"/>
      <c r="I89" s="12" t="s">
        <v>597</v>
      </c>
      <c r="J89" s="6"/>
      <c r="K89" s="6"/>
      <c r="L89" s="12" t="s">
        <v>727</v>
      </c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29">
        <f>275055*7</f>
        <v>1925385</v>
      </c>
      <c r="AL89" s="18"/>
      <c r="AM89" s="5"/>
      <c r="AN89" s="5"/>
      <c r="AO89" s="7">
        <f t="shared" si="1"/>
        <v>0</v>
      </c>
    </row>
    <row r="90" spans="1:41" ht="39.950000000000003" customHeight="1" x14ac:dyDescent="0.25">
      <c r="A90" s="6"/>
      <c r="B90" s="6"/>
      <c r="C90" s="12" t="s">
        <v>101</v>
      </c>
      <c r="D90" s="12" t="s">
        <v>102</v>
      </c>
      <c r="E90" s="13">
        <v>105022603</v>
      </c>
      <c r="F90" s="14" t="s">
        <v>954</v>
      </c>
      <c r="G90" s="12" t="s">
        <v>41</v>
      </c>
      <c r="H90" s="6"/>
      <c r="I90" s="12" t="s">
        <v>603</v>
      </c>
      <c r="J90" s="6"/>
      <c r="K90" s="6"/>
      <c r="L90" s="12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29">
        <f>7*7</f>
        <v>49</v>
      </c>
      <c r="AL90" s="18"/>
      <c r="AM90" s="5"/>
      <c r="AN90" s="5"/>
      <c r="AO90" s="7">
        <f t="shared" si="1"/>
        <v>0</v>
      </c>
    </row>
    <row r="91" spans="1:41" ht="39.950000000000003" customHeight="1" x14ac:dyDescent="0.25">
      <c r="A91" s="6"/>
      <c r="B91" s="6"/>
      <c r="C91" s="12" t="s">
        <v>101</v>
      </c>
      <c r="D91" s="12" t="s">
        <v>102</v>
      </c>
      <c r="E91" s="13">
        <v>105030109</v>
      </c>
      <c r="F91" s="14" t="s">
        <v>302</v>
      </c>
      <c r="G91" s="12" t="s">
        <v>40</v>
      </c>
      <c r="H91" s="6"/>
      <c r="I91" s="12" t="s">
        <v>637</v>
      </c>
      <c r="J91" s="6"/>
      <c r="K91" s="6"/>
      <c r="L91" s="12" t="s">
        <v>807</v>
      </c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29">
        <f>3548*7</f>
        <v>24836</v>
      </c>
      <c r="AL91" s="18"/>
      <c r="AM91" s="5"/>
      <c r="AN91" s="5"/>
      <c r="AO91" s="7">
        <f t="shared" si="1"/>
        <v>0</v>
      </c>
    </row>
    <row r="92" spans="1:41" ht="39.950000000000003" customHeight="1" x14ac:dyDescent="0.25">
      <c r="A92" s="6"/>
      <c r="B92" s="6"/>
      <c r="C92" s="12" t="s">
        <v>101</v>
      </c>
      <c r="D92" s="12" t="s">
        <v>102</v>
      </c>
      <c r="E92" s="13">
        <v>105030209</v>
      </c>
      <c r="F92" s="14" t="s">
        <v>338</v>
      </c>
      <c r="G92" s="12" t="s">
        <v>40</v>
      </c>
      <c r="H92" s="6"/>
      <c r="I92" s="12" t="s">
        <v>1089</v>
      </c>
      <c r="J92" s="6"/>
      <c r="K92" s="6"/>
      <c r="L92" s="12" t="s">
        <v>814</v>
      </c>
      <c r="M92" s="6"/>
      <c r="N92" s="6"/>
      <c r="O92" s="6"/>
      <c r="P92" s="9"/>
      <c r="Q92" s="9"/>
      <c r="R92" s="9"/>
      <c r="S92" s="9"/>
      <c r="T92" s="9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29">
        <f>41212*7</f>
        <v>288484</v>
      </c>
      <c r="AL92" s="18"/>
      <c r="AM92" s="5"/>
      <c r="AN92" s="5"/>
      <c r="AO92" s="7">
        <f t="shared" si="1"/>
        <v>0</v>
      </c>
    </row>
    <row r="93" spans="1:41" ht="39.950000000000003" customHeight="1" x14ac:dyDescent="0.25">
      <c r="A93" s="6"/>
      <c r="B93" s="6"/>
      <c r="C93" s="12" t="s">
        <v>101</v>
      </c>
      <c r="D93" s="12" t="s">
        <v>102</v>
      </c>
      <c r="E93" s="13">
        <v>105030309</v>
      </c>
      <c r="F93" s="14" t="s">
        <v>37</v>
      </c>
      <c r="G93" s="12" t="s">
        <v>40</v>
      </c>
      <c r="H93" s="6"/>
      <c r="I93" s="12" t="s">
        <v>708</v>
      </c>
      <c r="J93" s="6"/>
      <c r="K93" s="6"/>
      <c r="L93" s="12" t="s">
        <v>893</v>
      </c>
      <c r="M93" s="6"/>
      <c r="N93" s="6"/>
      <c r="O93" s="6"/>
      <c r="P93" s="9"/>
      <c r="Q93" s="9"/>
      <c r="R93" s="9"/>
      <c r="S93" s="9"/>
      <c r="T93" s="9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29">
        <f>37162*7</f>
        <v>260134</v>
      </c>
      <c r="AL93" s="18"/>
      <c r="AM93" s="5"/>
      <c r="AN93" s="5"/>
      <c r="AO93" s="7">
        <f t="shared" si="1"/>
        <v>0</v>
      </c>
    </row>
    <row r="94" spans="1:41" ht="39.950000000000003" customHeight="1" x14ac:dyDescent="0.25">
      <c r="A94" s="6"/>
      <c r="B94" s="6"/>
      <c r="C94" s="12" t="s">
        <v>101</v>
      </c>
      <c r="D94" s="12" t="s">
        <v>102</v>
      </c>
      <c r="E94" s="13">
        <v>105030503</v>
      </c>
      <c r="F94" s="14" t="s">
        <v>144</v>
      </c>
      <c r="G94" s="12" t="s">
        <v>63</v>
      </c>
      <c r="H94" s="6"/>
      <c r="I94" s="12" t="s">
        <v>614</v>
      </c>
      <c r="J94" s="6"/>
      <c r="K94" s="6"/>
      <c r="L94" s="12" t="s">
        <v>730</v>
      </c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29">
        <f>5*7</f>
        <v>35</v>
      </c>
      <c r="AL94" s="18"/>
      <c r="AM94" s="5"/>
      <c r="AN94" s="5"/>
      <c r="AO94" s="7">
        <f t="shared" si="1"/>
        <v>0</v>
      </c>
    </row>
    <row r="95" spans="1:41" ht="39.950000000000003" customHeight="1" x14ac:dyDescent="0.25">
      <c r="A95" s="6"/>
      <c r="B95" s="6"/>
      <c r="C95" s="12" t="s">
        <v>101</v>
      </c>
      <c r="D95" s="12" t="s">
        <v>102</v>
      </c>
      <c r="E95" s="13">
        <v>105030609</v>
      </c>
      <c r="F95" s="14" t="s">
        <v>234</v>
      </c>
      <c r="G95" s="12" t="s">
        <v>40</v>
      </c>
      <c r="H95" s="6"/>
      <c r="I95" s="12" t="s">
        <v>597</v>
      </c>
      <c r="J95" s="6"/>
      <c r="K95" s="6"/>
      <c r="L95" s="12" t="s">
        <v>728</v>
      </c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29">
        <f>32508*7</f>
        <v>227556</v>
      </c>
      <c r="AL95" s="18"/>
      <c r="AM95" s="5"/>
      <c r="AN95" s="5"/>
      <c r="AO95" s="7">
        <f t="shared" si="1"/>
        <v>0</v>
      </c>
    </row>
    <row r="96" spans="1:41" ht="39.950000000000003" customHeight="1" x14ac:dyDescent="0.25">
      <c r="A96" s="6"/>
      <c r="B96" s="6"/>
      <c r="C96" s="12" t="s">
        <v>101</v>
      </c>
      <c r="D96" s="12" t="s">
        <v>102</v>
      </c>
      <c r="E96" s="13">
        <v>105030709</v>
      </c>
      <c r="F96" s="14" t="s">
        <v>448</v>
      </c>
      <c r="G96" s="12" t="s">
        <v>40</v>
      </c>
      <c r="H96" s="6"/>
      <c r="I96" s="12" t="s">
        <v>597</v>
      </c>
      <c r="J96" s="6"/>
      <c r="K96" s="6"/>
      <c r="L96" s="12" t="s">
        <v>853</v>
      </c>
      <c r="M96" s="6"/>
      <c r="N96" s="6"/>
      <c r="O96" s="6"/>
      <c r="P96" s="9"/>
      <c r="Q96" s="9"/>
      <c r="R96" s="9"/>
      <c r="S96" s="9"/>
      <c r="T96" s="9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29">
        <f>1943*7</f>
        <v>13601</v>
      </c>
      <c r="AL96" s="18"/>
      <c r="AM96" s="5"/>
      <c r="AN96" s="5"/>
      <c r="AO96" s="7">
        <f t="shared" si="1"/>
        <v>0</v>
      </c>
    </row>
    <row r="97" spans="1:41" ht="39.950000000000003" customHeight="1" x14ac:dyDescent="0.25">
      <c r="A97" s="6"/>
      <c r="B97" s="6"/>
      <c r="C97" s="12" t="s">
        <v>101</v>
      </c>
      <c r="D97" s="12" t="s">
        <v>102</v>
      </c>
      <c r="E97" s="13">
        <v>105031009</v>
      </c>
      <c r="F97" s="14" t="s">
        <v>238</v>
      </c>
      <c r="G97" s="12" t="s">
        <v>40</v>
      </c>
      <c r="H97" s="6"/>
      <c r="I97" s="12" t="s">
        <v>637</v>
      </c>
      <c r="J97" s="6"/>
      <c r="K97" s="6"/>
      <c r="L97" s="12" t="s">
        <v>767</v>
      </c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29">
        <f>14471*7</f>
        <v>101297</v>
      </c>
      <c r="AL97" s="18"/>
      <c r="AM97" s="5"/>
      <c r="AN97" s="5"/>
      <c r="AO97" s="7">
        <f t="shared" si="1"/>
        <v>0</v>
      </c>
    </row>
    <row r="98" spans="1:41" ht="39.950000000000003" customHeight="1" x14ac:dyDescent="0.25">
      <c r="A98" s="6"/>
      <c r="B98" s="6"/>
      <c r="C98" s="12" t="s">
        <v>101</v>
      </c>
      <c r="D98" s="12" t="s">
        <v>102</v>
      </c>
      <c r="E98" s="13">
        <v>105031209</v>
      </c>
      <c r="F98" s="14" t="s">
        <v>129</v>
      </c>
      <c r="G98" s="12" t="s">
        <v>40</v>
      </c>
      <c r="H98" s="6"/>
      <c r="I98" s="12" t="s">
        <v>606</v>
      </c>
      <c r="J98" s="6"/>
      <c r="K98" s="6"/>
      <c r="L98" s="12" t="s">
        <v>732</v>
      </c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29">
        <f>174796*7</f>
        <v>1223572</v>
      </c>
      <c r="AL98" s="18"/>
      <c r="AM98" s="5"/>
      <c r="AN98" s="5"/>
      <c r="AO98" s="7">
        <f t="shared" si="1"/>
        <v>0</v>
      </c>
    </row>
    <row r="99" spans="1:41" ht="39.950000000000003" customHeight="1" x14ac:dyDescent="0.25">
      <c r="A99" s="6"/>
      <c r="B99" s="6"/>
      <c r="C99" s="12" t="s">
        <v>101</v>
      </c>
      <c r="D99" s="12" t="s">
        <v>102</v>
      </c>
      <c r="E99" s="13">
        <v>105031409</v>
      </c>
      <c r="F99" s="14" t="s">
        <v>152</v>
      </c>
      <c r="G99" s="12" t="s">
        <v>40</v>
      </c>
      <c r="H99" s="6"/>
      <c r="I99" s="12" t="s">
        <v>606</v>
      </c>
      <c r="J99" s="6"/>
      <c r="K99" s="6"/>
      <c r="L99" s="12" t="s">
        <v>732</v>
      </c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29">
        <f>356365*7</f>
        <v>2494555</v>
      </c>
      <c r="AL99" s="18"/>
      <c r="AM99" s="5"/>
      <c r="AN99" s="5"/>
      <c r="AO99" s="7">
        <f t="shared" si="1"/>
        <v>0</v>
      </c>
    </row>
    <row r="100" spans="1:41" ht="39.950000000000003" customHeight="1" x14ac:dyDescent="0.25">
      <c r="A100" s="6"/>
      <c r="B100" s="6"/>
      <c r="C100" s="12" t="s">
        <v>101</v>
      </c>
      <c r="D100" s="12" t="s">
        <v>102</v>
      </c>
      <c r="E100" s="13">
        <v>105031609</v>
      </c>
      <c r="F100" s="14" t="s">
        <v>135</v>
      </c>
      <c r="G100" s="12" t="s">
        <v>40</v>
      </c>
      <c r="H100" s="6"/>
      <c r="I100" s="12" t="s">
        <v>609</v>
      </c>
      <c r="J100" s="6"/>
      <c r="K100" s="6"/>
      <c r="L100" s="12" t="s">
        <v>734</v>
      </c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29">
        <f>178858*7</f>
        <v>1252006</v>
      </c>
      <c r="AL100" s="18"/>
      <c r="AM100" s="5"/>
      <c r="AN100" s="5"/>
      <c r="AO100" s="7">
        <f t="shared" si="1"/>
        <v>0</v>
      </c>
    </row>
    <row r="101" spans="1:41" ht="39.950000000000003" customHeight="1" x14ac:dyDescent="0.25">
      <c r="A101" s="6"/>
      <c r="B101" s="6"/>
      <c r="C101" s="12" t="s">
        <v>101</v>
      </c>
      <c r="D101" s="12" t="s">
        <v>102</v>
      </c>
      <c r="E101" s="13">
        <v>105031809</v>
      </c>
      <c r="F101" s="14" t="s">
        <v>1090</v>
      </c>
      <c r="G101" s="12" t="s">
        <v>39</v>
      </c>
      <c r="H101" s="6"/>
      <c r="I101" s="12" t="s">
        <v>598</v>
      </c>
      <c r="J101" s="6"/>
      <c r="K101" s="6"/>
      <c r="L101" s="12" t="s">
        <v>727</v>
      </c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29">
        <f>1229000*7</f>
        <v>8603000</v>
      </c>
      <c r="AL101" s="18"/>
      <c r="AM101" s="5"/>
      <c r="AN101" s="5"/>
      <c r="AO101" s="7">
        <f t="shared" si="1"/>
        <v>0</v>
      </c>
    </row>
    <row r="102" spans="1:41" ht="39.950000000000003" customHeight="1" x14ac:dyDescent="0.25">
      <c r="A102" s="6"/>
      <c r="B102" s="6"/>
      <c r="C102" s="12" t="s">
        <v>101</v>
      </c>
      <c r="D102" s="12" t="s">
        <v>102</v>
      </c>
      <c r="E102" s="13">
        <v>105031810</v>
      </c>
      <c r="F102" s="14" t="s">
        <v>1091</v>
      </c>
      <c r="G102" s="12" t="s">
        <v>39</v>
      </c>
      <c r="H102" s="6"/>
      <c r="I102" s="12" t="s">
        <v>597</v>
      </c>
      <c r="J102" s="6"/>
      <c r="K102" s="6"/>
      <c r="L102" s="12" t="s">
        <v>727</v>
      </c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29">
        <f>1467*7</f>
        <v>10269</v>
      </c>
      <c r="AL102" s="18"/>
      <c r="AM102" s="5"/>
      <c r="AN102" s="5"/>
      <c r="AO102" s="7">
        <f t="shared" si="1"/>
        <v>0</v>
      </c>
    </row>
    <row r="103" spans="1:41" ht="39.950000000000003" customHeight="1" x14ac:dyDescent="0.25">
      <c r="A103" s="6"/>
      <c r="B103" s="6"/>
      <c r="C103" s="12" t="s">
        <v>101</v>
      </c>
      <c r="D103" s="12" t="s">
        <v>102</v>
      </c>
      <c r="E103" s="13">
        <v>105032703</v>
      </c>
      <c r="F103" s="14" t="s">
        <v>286</v>
      </c>
      <c r="G103" s="12" t="s">
        <v>63</v>
      </c>
      <c r="H103" s="6"/>
      <c r="I103" s="12" t="s">
        <v>652</v>
      </c>
      <c r="J103" s="6"/>
      <c r="K103" s="6"/>
      <c r="L103" s="12" t="s">
        <v>1092</v>
      </c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29">
        <f>35.17*7</f>
        <v>246.19</v>
      </c>
      <c r="AL103" s="18"/>
      <c r="AM103" s="5"/>
      <c r="AN103" s="5"/>
      <c r="AO103" s="7">
        <f t="shared" si="1"/>
        <v>0</v>
      </c>
    </row>
    <row r="104" spans="1:41" ht="39.950000000000003" customHeight="1" x14ac:dyDescent="0.25">
      <c r="A104" s="6"/>
      <c r="B104" s="6"/>
      <c r="C104" s="12" t="s">
        <v>101</v>
      </c>
      <c r="D104" s="12" t="s">
        <v>102</v>
      </c>
      <c r="E104" s="13">
        <v>105040109</v>
      </c>
      <c r="F104" s="14" t="s">
        <v>235</v>
      </c>
      <c r="G104" s="12" t="s">
        <v>40</v>
      </c>
      <c r="H104" s="6"/>
      <c r="I104" s="12" t="s">
        <v>596</v>
      </c>
      <c r="J104" s="6"/>
      <c r="K104" s="6"/>
      <c r="L104" s="12" t="s">
        <v>765</v>
      </c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29">
        <f>3709*7</f>
        <v>25963</v>
      </c>
      <c r="AL104" s="18"/>
      <c r="AM104" s="5"/>
      <c r="AN104" s="5"/>
      <c r="AO104" s="7">
        <f t="shared" si="1"/>
        <v>0</v>
      </c>
    </row>
    <row r="105" spans="1:41" ht="39.950000000000003" customHeight="1" x14ac:dyDescent="0.25">
      <c r="A105" s="6"/>
      <c r="B105" s="6"/>
      <c r="C105" s="12" t="s">
        <v>101</v>
      </c>
      <c r="D105" s="12" t="s">
        <v>102</v>
      </c>
      <c r="E105" s="13">
        <v>105040203</v>
      </c>
      <c r="F105" s="14" t="s">
        <v>192</v>
      </c>
      <c r="G105" s="12" t="s">
        <v>41</v>
      </c>
      <c r="H105" s="6"/>
      <c r="I105" s="12" t="s">
        <v>615</v>
      </c>
      <c r="J105" s="6"/>
      <c r="K105" s="6"/>
      <c r="L105" s="12" t="s">
        <v>753</v>
      </c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29">
        <f>4157*7</f>
        <v>29099</v>
      </c>
      <c r="AL105" s="18"/>
      <c r="AM105" s="5"/>
      <c r="AN105" s="5"/>
      <c r="AO105" s="7">
        <f t="shared" si="1"/>
        <v>0</v>
      </c>
    </row>
    <row r="106" spans="1:41" ht="39.950000000000003" customHeight="1" x14ac:dyDescent="0.25">
      <c r="A106" s="6"/>
      <c r="B106" s="6"/>
      <c r="C106" s="12" t="s">
        <v>101</v>
      </c>
      <c r="D106" s="12" t="s">
        <v>102</v>
      </c>
      <c r="E106" s="13">
        <v>105040309</v>
      </c>
      <c r="F106" s="14" t="s">
        <v>153</v>
      </c>
      <c r="G106" s="12" t="s">
        <v>40</v>
      </c>
      <c r="H106" s="6"/>
      <c r="I106" s="12" t="s">
        <v>597</v>
      </c>
      <c r="J106" s="6"/>
      <c r="K106" s="6"/>
      <c r="L106" s="12" t="s">
        <v>728</v>
      </c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29">
        <f>214370*7</f>
        <v>1500590</v>
      </c>
      <c r="AL106" s="18"/>
      <c r="AM106" s="5"/>
      <c r="AN106" s="5"/>
      <c r="AO106" s="7">
        <f t="shared" si="1"/>
        <v>0</v>
      </c>
    </row>
    <row r="107" spans="1:41" ht="39.950000000000003" customHeight="1" x14ac:dyDescent="0.25">
      <c r="A107" s="6"/>
      <c r="B107" s="6"/>
      <c r="C107" s="12" t="s">
        <v>101</v>
      </c>
      <c r="D107" s="12" t="s">
        <v>102</v>
      </c>
      <c r="E107" s="13">
        <v>105040509</v>
      </c>
      <c r="F107" s="14" t="s">
        <v>116</v>
      </c>
      <c r="G107" s="12" t="s">
        <v>40</v>
      </c>
      <c r="H107" s="6"/>
      <c r="I107" s="12" t="s">
        <v>597</v>
      </c>
      <c r="J107" s="6"/>
      <c r="K107" s="6"/>
      <c r="L107" s="12" t="s">
        <v>728</v>
      </c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29">
        <f>516232*7</f>
        <v>3613624</v>
      </c>
      <c r="AL107" s="18"/>
      <c r="AM107" s="5"/>
      <c r="AN107" s="5"/>
      <c r="AO107" s="7">
        <f t="shared" si="1"/>
        <v>0</v>
      </c>
    </row>
    <row r="108" spans="1:41" ht="39.950000000000003" customHeight="1" x14ac:dyDescent="0.25">
      <c r="A108" s="6"/>
      <c r="B108" s="6"/>
      <c r="C108" s="12" t="s">
        <v>101</v>
      </c>
      <c r="D108" s="12" t="s">
        <v>102</v>
      </c>
      <c r="E108" s="13">
        <v>105040510</v>
      </c>
      <c r="F108" s="14" t="s">
        <v>955</v>
      </c>
      <c r="G108" s="12" t="s">
        <v>40</v>
      </c>
      <c r="H108" s="6"/>
      <c r="I108" s="12" t="s">
        <v>597</v>
      </c>
      <c r="J108" s="6"/>
      <c r="K108" s="6"/>
      <c r="L108" s="12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29">
        <f>30*7</f>
        <v>210</v>
      </c>
      <c r="AL108" s="18"/>
      <c r="AM108" s="5"/>
      <c r="AN108" s="5"/>
      <c r="AO108" s="7">
        <f t="shared" si="1"/>
        <v>0</v>
      </c>
    </row>
    <row r="109" spans="1:41" ht="39.950000000000003" customHeight="1" x14ac:dyDescent="0.25">
      <c r="A109" s="6"/>
      <c r="B109" s="6"/>
      <c r="C109" s="12" t="s">
        <v>101</v>
      </c>
      <c r="D109" s="12" t="s">
        <v>102</v>
      </c>
      <c r="E109" s="13">
        <v>105040709</v>
      </c>
      <c r="F109" s="14" t="s">
        <v>174</v>
      </c>
      <c r="G109" s="12" t="s">
        <v>40</v>
      </c>
      <c r="H109" s="6"/>
      <c r="I109" s="12" t="s">
        <v>597</v>
      </c>
      <c r="J109" s="6"/>
      <c r="K109" s="6"/>
      <c r="L109" s="12" t="s">
        <v>727</v>
      </c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29">
        <f>59784*7</f>
        <v>418488</v>
      </c>
      <c r="AL109" s="18"/>
      <c r="AM109" s="5"/>
      <c r="AN109" s="5"/>
      <c r="AO109" s="7">
        <f t="shared" si="1"/>
        <v>0</v>
      </c>
    </row>
    <row r="110" spans="1:41" ht="39.950000000000003" customHeight="1" x14ac:dyDescent="0.25">
      <c r="A110" s="6"/>
      <c r="B110" s="6"/>
      <c r="C110" s="12" t="s">
        <v>101</v>
      </c>
      <c r="D110" s="12" t="s">
        <v>102</v>
      </c>
      <c r="E110" s="13">
        <v>105050906</v>
      </c>
      <c r="F110" s="14" t="s">
        <v>149</v>
      </c>
      <c r="G110" s="12" t="s">
        <v>40</v>
      </c>
      <c r="H110" s="6"/>
      <c r="I110" s="12" t="s">
        <v>597</v>
      </c>
      <c r="J110" s="6"/>
      <c r="K110" s="6"/>
      <c r="L110" s="12" t="s">
        <v>727</v>
      </c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29">
        <f>60*7</f>
        <v>420</v>
      </c>
      <c r="AL110" s="18"/>
      <c r="AM110" s="5"/>
      <c r="AN110" s="5"/>
      <c r="AO110" s="7">
        <f t="shared" si="1"/>
        <v>0</v>
      </c>
    </row>
    <row r="111" spans="1:41" ht="39.950000000000003" customHeight="1" x14ac:dyDescent="0.25">
      <c r="A111" s="6"/>
      <c r="B111" s="6"/>
      <c r="C111" s="12" t="s">
        <v>101</v>
      </c>
      <c r="D111" s="12" t="s">
        <v>102</v>
      </c>
      <c r="E111" s="13">
        <v>105050909</v>
      </c>
      <c r="F111" s="14" t="s">
        <v>193</v>
      </c>
      <c r="G111" s="12" t="s">
        <v>40</v>
      </c>
      <c r="H111" s="6"/>
      <c r="I111" s="12" t="s">
        <v>597</v>
      </c>
      <c r="J111" s="6"/>
      <c r="K111" s="6"/>
      <c r="L111" s="12" t="s">
        <v>727</v>
      </c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29">
        <f>10*7</f>
        <v>70</v>
      </c>
      <c r="AL111" s="18"/>
      <c r="AM111" s="5"/>
      <c r="AN111" s="5"/>
      <c r="AO111" s="7">
        <f t="shared" si="1"/>
        <v>0</v>
      </c>
    </row>
    <row r="112" spans="1:41" ht="39.950000000000003" customHeight="1" x14ac:dyDescent="0.25">
      <c r="A112" s="6"/>
      <c r="B112" s="6"/>
      <c r="C112" s="12" t="s">
        <v>101</v>
      </c>
      <c r="D112" s="12" t="s">
        <v>102</v>
      </c>
      <c r="E112" s="13">
        <v>105060203</v>
      </c>
      <c r="F112" s="14" t="s">
        <v>290</v>
      </c>
      <c r="G112" s="12" t="s">
        <v>41</v>
      </c>
      <c r="H112" s="6"/>
      <c r="I112" s="12" t="s">
        <v>603</v>
      </c>
      <c r="J112" s="6"/>
      <c r="K112" s="6"/>
      <c r="L112" s="12" t="s">
        <v>800</v>
      </c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29">
        <f>69.75*7</f>
        <v>488.25</v>
      </c>
      <c r="AL112" s="18"/>
      <c r="AM112" s="5"/>
      <c r="AN112" s="5"/>
      <c r="AO112" s="7">
        <f t="shared" si="1"/>
        <v>0</v>
      </c>
    </row>
    <row r="113" spans="1:41" ht="39.950000000000003" customHeight="1" x14ac:dyDescent="0.25">
      <c r="A113" s="6"/>
      <c r="B113" s="6"/>
      <c r="C113" s="12" t="s">
        <v>101</v>
      </c>
      <c r="D113" s="12" t="s">
        <v>102</v>
      </c>
      <c r="E113" s="12">
        <v>105070103</v>
      </c>
      <c r="F113" s="14" t="s">
        <v>229</v>
      </c>
      <c r="G113" s="12" t="s">
        <v>41</v>
      </c>
      <c r="H113" s="6"/>
      <c r="I113" s="12" t="s">
        <v>1072</v>
      </c>
      <c r="J113" s="6"/>
      <c r="K113" s="6"/>
      <c r="L113" s="12" t="s">
        <v>762</v>
      </c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29">
        <f>16.5*7</f>
        <v>115.5</v>
      </c>
      <c r="AL113" s="18"/>
      <c r="AM113" s="5"/>
      <c r="AN113" s="5"/>
      <c r="AO113" s="7">
        <f t="shared" si="1"/>
        <v>0</v>
      </c>
    </row>
    <row r="114" spans="1:41" ht="39.950000000000003" customHeight="1" x14ac:dyDescent="0.25">
      <c r="A114" s="6"/>
      <c r="B114" s="6"/>
      <c r="C114" s="12" t="s">
        <v>101</v>
      </c>
      <c r="D114" s="12" t="s">
        <v>102</v>
      </c>
      <c r="E114" s="13">
        <v>105070209</v>
      </c>
      <c r="F114" s="14" t="s">
        <v>300</v>
      </c>
      <c r="G114" s="12" t="s">
        <v>40</v>
      </c>
      <c r="H114" s="6"/>
      <c r="I114" s="12" t="s">
        <v>1083</v>
      </c>
      <c r="J114" s="6"/>
      <c r="K114" s="6"/>
      <c r="L114" s="12" t="s">
        <v>806</v>
      </c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29">
        <f>20*7</f>
        <v>140</v>
      </c>
      <c r="AL114" s="18"/>
      <c r="AM114" s="5"/>
      <c r="AN114" s="5"/>
      <c r="AO114" s="7">
        <f t="shared" si="1"/>
        <v>0</v>
      </c>
    </row>
    <row r="115" spans="1:41" ht="39.950000000000003" customHeight="1" x14ac:dyDescent="0.25">
      <c r="A115" s="6"/>
      <c r="B115" s="6"/>
      <c r="C115" s="12" t="s">
        <v>101</v>
      </c>
      <c r="D115" s="12" t="s">
        <v>102</v>
      </c>
      <c r="E115" s="13">
        <v>105070403</v>
      </c>
      <c r="F115" s="14" t="s">
        <v>1007</v>
      </c>
      <c r="G115" s="12" t="s">
        <v>41</v>
      </c>
      <c r="H115" s="6"/>
      <c r="I115" s="12" t="s">
        <v>615</v>
      </c>
      <c r="J115" s="6"/>
      <c r="K115" s="6"/>
      <c r="L115" s="12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29">
        <f>33.5*7</f>
        <v>234.5</v>
      </c>
      <c r="AL115" s="18"/>
      <c r="AM115" s="5"/>
      <c r="AN115" s="5"/>
      <c r="AO115" s="7">
        <f t="shared" si="1"/>
        <v>0</v>
      </c>
    </row>
    <row r="116" spans="1:41" ht="39.950000000000003" customHeight="1" x14ac:dyDescent="0.25">
      <c r="A116" s="6"/>
      <c r="B116" s="6"/>
      <c r="C116" s="12" t="s">
        <v>101</v>
      </c>
      <c r="D116" s="12" t="s">
        <v>102</v>
      </c>
      <c r="E116" s="13">
        <v>105080106</v>
      </c>
      <c r="F116" s="14" t="s">
        <v>215</v>
      </c>
      <c r="G116" s="12" t="s">
        <v>61</v>
      </c>
      <c r="H116" s="6"/>
      <c r="I116" s="12" t="s">
        <v>643</v>
      </c>
      <c r="J116" s="6"/>
      <c r="K116" s="6"/>
      <c r="L116" s="12" t="s">
        <v>758</v>
      </c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29">
        <f>74.15*7</f>
        <v>519.05000000000007</v>
      </c>
      <c r="AL116" s="18"/>
      <c r="AM116" s="5"/>
      <c r="AN116" s="5"/>
      <c r="AO116" s="7">
        <f t="shared" si="1"/>
        <v>0</v>
      </c>
    </row>
    <row r="117" spans="1:41" ht="39.950000000000003" customHeight="1" x14ac:dyDescent="0.25">
      <c r="A117" s="6"/>
      <c r="B117" s="6"/>
      <c r="C117" s="12" t="s">
        <v>101</v>
      </c>
      <c r="D117" s="12" t="s">
        <v>102</v>
      </c>
      <c r="E117" s="13">
        <v>105080208</v>
      </c>
      <c r="F117" s="14" t="s">
        <v>236</v>
      </c>
      <c r="G117" s="12" t="s">
        <v>237</v>
      </c>
      <c r="H117" s="6"/>
      <c r="I117" s="12" t="s">
        <v>1093</v>
      </c>
      <c r="J117" s="6"/>
      <c r="K117" s="6"/>
      <c r="L117" s="12" t="s">
        <v>766</v>
      </c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29">
        <f>76.53*7</f>
        <v>535.71</v>
      </c>
      <c r="AL117" s="18"/>
      <c r="AM117" s="5"/>
      <c r="AN117" s="5"/>
      <c r="AO117" s="7">
        <f t="shared" si="1"/>
        <v>0</v>
      </c>
    </row>
    <row r="118" spans="1:41" ht="39.950000000000003" customHeight="1" x14ac:dyDescent="0.25">
      <c r="A118" s="6"/>
      <c r="B118" s="6"/>
      <c r="C118" s="12" t="s">
        <v>101</v>
      </c>
      <c r="D118" s="12" t="s">
        <v>102</v>
      </c>
      <c r="E118" s="23">
        <v>106010204</v>
      </c>
      <c r="F118" s="24" t="s">
        <v>42</v>
      </c>
      <c r="G118" s="12" t="s">
        <v>58</v>
      </c>
      <c r="H118" s="6"/>
      <c r="I118" s="12" t="s">
        <v>709</v>
      </c>
      <c r="J118" s="6"/>
      <c r="K118" s="6"/>
      <c r="L118" s="12" t="s">
        <v>894</v>
      </c>
      <c r="M118" s="6"/>
      <c r="N118" s="6"/>
      <c r="O118" s="6"/>
      <c r="P118" s="9"/>
      <c r="Q118" s="9"/>
      <c r="R118" s="9"/>
      <c r="S118" s="9"/>
      <c r="T118" s="9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29">
        <f>4029*7</f>
        <v>28203</v>
      </c>
      <c r="AL118" s="18"/>
      <c r="AM118" s="5"/>
      <c r="AN118" s="5"/>
      <c r="AO118" s="7">
        <f t="shared" si="1"/>
        <v>0</v>
      </c>
    </row>
    <row r="119" spans="1:41" ht="39.950000000000003" customHeight="1" x14ac:dyDescent="0.25">
      <c r="A119" s="6"/>
      <c r="B119" s="6"/>
      <c r="C119" s="12" t="s">
        <v>101</v>
      </c>
      <c r="D119" s="12" t="s">
        <v>102</v>
      </c>
      <c r="E119" s="13">
        <v>106020109</v>
      </c>
      <c r="F119" s="14" t="s">
        <v>345</v>
      </c>
      <c r="G119" s="12" t="s">
        <v>40</v>
      </c>
      <c r="H119" s="6"/>
      <c r="I119" s="12" t="s">
        <v>665</v>
      </c>
      <c r="J119" s="6"/>
      <c r="K119" s="6"/>
      <c r="L119" s="12" t="s">
        <v>814</v>
      </c>
      <c r="M119" s="6"/>
      <c r="N119" s="6"/>
      <c r="O119" s="6"/>
      <c r="P119" s="9"/>
      <c r="Q119" s="9"/>
      <c r="R119" s="9"/>
      <c r="S119" s="9"/>
      <c r="T119" s="9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29">
        <f>6232*7</f>
        <v>43624</v>
      </c>
      <c r="AL119" s="18"/>
      <c r="AM119" s="5"/>
      <c r="AN119" s="5"/>
      <c r="AO119" s="7">
        <f t="shared" si="1"/>
        <v>0</v>
      </c>
    </row>
    <row r="120" spans="1:41" ht="39.950000000000003" customHeight="1" x14ac:dyDescent="0.25">
      <c r="A120" s="6"/>
      <c r="B120" s="6"/>
      <c r="C120" s="12" t="s">
        <v>101</v>
      </c>
      <c r="D120" s="12" t="s">
        <v>102</v>
      </c>
      <c r="E120" s="13">
        <v>106030103</v>
      </c>
      <c r="F120" s="14" t="s">
        <v>145</v>
      </c>
      <c r="G120" s="12" t="s">
        <v>41</v>
      </c>
      <c r="H120" s="6"/>
      <c r="I120" s="12" t="s">
        <v>615</v>
      </c>
      <c r="J120" s="6"/>
      <c r="K120" s="6"/>
      <c r="L120" s="12" t="s">
        <v>741</v>
      </c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29">
        <f>3868*7</f>
        <v>27076</v>
      </c>
      <c r="AL120" s="18"/>
      <c r="AM120" s="5"/>
      <c r="AN120" s="5"/>
      <c r="AO120" s="7">
        <f t="shared" si="1"/>
        <v>0</v>
      </c>
    </row>
    <row r="121" spans="1:41" ht="39.950000000000003" customHeight="1" x14ac:dyDescent="0.25">
      <c r="A121" s="6"/>
      <c r="B121" s="6"/>
      <c r="C121" s="12" t="s">
        <v>101</v>
      </c>
      <c r="D121" s="12" t="s">
        <v>102</v>
      </c>
      <c r="E121" s="13">
        <v>106030209</v>
      </c>
      <c r="F121" s="14" t="s">
        <v>213</v>
      </c>
      <c r="G121" s="12" t="s">
        <v>40</v>
      </c>
      <c r="H121" s="6"/>
      <c r="I121" s="12" t="s">
        <v>597</v>
      </c>
      <c r="J121" s="6"/>
      <c r="K121" s="6"/>
      <c r="L121" s="12" t="s">
        <v>738</v>
      </c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29">
        <f>15820*7</f>
        <v>110740</v>
      </c>
      <c r="AL121" s="18"/>
      <c r="AM121" s="5"/>
      <c r="AN121" s="5"/>
      <c r="AO121" s="7">
        <f t="shared" si="1"/>
        <v>0</v>
      </c>
    </row>
    <row r="122" spans="1:41" ht="39.950000000000003" customHeight="1" x14ac:dyDescent="0.25">
      <c r="A122" s="6"/>
      <c r="B122" s="6"/>
      <c r="C122" s="12" t="s">
        <v>101</v>
      </c>
      <c r="D122" s="12" t="s">
        <v>102</v>
      </c>
      <c r="E122" s="13">
        <v>106030302</v>
      </c>
      <c r="F122" s="14" t="s">
        <v>186</v>
      </c>
      <c r="G122" s="12" t="s">
        <v>58</v>
      </c>
      <c r="H122" s="6"/>
      <c r="I122" s="12" t="s">
        <v>610</v>
      </c>
      <c r="J122" s="6"/>
      <c r="K122" s="6"/>
      <c r="L122" s="12" t="s">
        <v>729</v>
      </c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29">
        <f>83*7</f>
        <v>581</v>
      </c>
      <c r="AL122" s="18"/>
      <c r="AM122" s="5"/>
      <c r="AN122" s="5"/>
      <c r="AO122" s="7">
        <f t="shared" si="1"/>
        <v>0</v>
      </c>
    </row>
    <row r="123" spans="1:41" ht="39.950000000000003" customHeight="1" x14ac:dyDescent="0.25">
      <c r="A123" s="6"/>
      <c r="B123" s="6"/>
      <c r="C123" s="12" t="s">
        <v>101</v>
      </c>
      <c r="D123" s="12" t="s">
        <v>102</v>
      </c>
      <c r="E123" s="13">
        <v>106040103</v>
      </c>
      <c r="F123" s="14" t="s">
        <v>526</v>
      </c>
      <c r="G123" s="12" t="s">
        <v>41</v>
      </c>
      <c r="H123" s="6"/>
      <c r="I123" s="12" t="s">
        <v>615</v>
      </c>
      <c r="J123" s="6"/>
      <c r="K123" s="6"/>
      <c r="L123" s="12" t="s">
        <v>739</v>
      </c>
      <c r="M123" s="6"/>
      <c r="N123" s="6"/>
      <c r="O123" s="6"/>
      <c r="P123" s="9"/>
      <c r="Q123" s="9"/>
      <c r="R123" s="9"/>
      <c r="S123" s="9"/>
      <c r="T123" s="9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29">
        <f>1755*7</f>
        <v>12285</v>
      </c>
      <c r="AL123" s="18"/>
      <c r="AM123" s="5"/>
      <c r="AN123" s="5"/>
      <c r="AO123" s="7">
        <f t="shared" si="1"/>
        <v>0</v>
      </c>
    </row>
    <row r="124" spans="1:41" ht="39.950000000000003" customHeight="1" x14ac:dyDescent="0.25">
      <c r="A124" s="6"/>
      <c r="B124" s="6"/>
      <c r="C124" s="12" t="s">
        <v>101</v>
      </c>
      <c r="D124" s="12" t="s">
        <v>102</v>
      </c>
      <c r="E124" s="13">
        <v>106040203</v>
      </c>
      <c r="F124" s="14" t="s">
        <v>355</v>
      </c>
      <c r="G124" s="12" t="s">
        <v>41</v>
      </c>
      <c r="H124" s="6"/>
      <c r="I124" s="12" t="s">
        <v>615</v>
      </c>
      <c r="J124" s="6"/>
      <c r="K124" s="6"/>
      <c r="L124" s="12" t="s">
        <v>816</v>
      </c>
      <c r="M124" s="6"/>
      <c r="N124" s="6"/>
      <c r="O124" s="6"/>
      <c r="P124" s="9"/>
      <c r="Q124" s="9"/>
      <c r="R124" s="9"/>
      <c r="S124" s="9"/>
      <c r="T124" s="9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29">
        <f>3349*7</f>
        <v>23443</v>
      </c>
      <c r="AL124" s="18"/>
      <c r="AM124" s="5"/>
      <c r="AN124" s="5"/>
      <c r="AO124" s="7">
        <f t="shared" si="1"/>
        <v>0</v>
      </c>
    </row>
    <row r="125" spans="1:41" ht="39.950000000000003" customHeight="1" x14ac:dyDescent="0.25">
      <c r="A125" s="6"/>
      <c r="B125" s="6"/>
      <c r="C125" s="12" t="s">
        <v>101</v>
      </c>
      <c r="D125" s="12" t="s">
        <v>102</v>
      </c>
      <c r="E125" s="13">
        <v>106040409</v>
      </c>
      <c r="F125" s="14" t="s">
        <v>287</v>
      </c>
      <c r="G125" s="12" t="s">
        <v>40</v>
      </c>
      <c r="H125" s="6"/>
      <c r="I125" s="12" t="s">
        <v>712</v>
      </c>
      <c r="J125" s="6"/>
      <c r="K125" s="6"/>
      <c r="L125" s="12" t="s">
        <v>743</v>
      </c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29">
        <f>50773*7</f>
        <v>355411</v>
      </c>
      <c r="AL125" s="18"/>
      <c r="AM125" s="5"/>
      <c r="AN125" s="5"/>
      <c r="AO125" s="7">
        <f t="shared" si="1"/>
        <v>0</v>
      </c>
    </row>
    <row r="126" spans="1:41" ht="39.950000000000003" customHeight="1" x14ac:dyDescent="0.25">
      <c r="A126" s="6"/>
      <c r="B126" s="6"/>
      <c r="C126" s="12" t="s">
        <v>101</v>
      </c>
      <c r="D126" s="12" t="s">
        <v>103</v>
      </c>
      <c r="E126" s="13">
        <v>106050209</v>
      </c>
      <c r="F126" s="14" t="s">
        <v>43</v>
      </c>
      <c r="G126" s="12" t="s">
        <v>40</v>
      </c>
      <c r="H126" s="6"/>
      <c r="I126" s="12" t="s">
        <v>710</v>
      </c>
      <c r="J126" s="6"/>
      <c r="K126" s="6"/>
      <c r="L126" s="12" t="s">
        <v>895</v>
      </c>
      <c r="M126" s="6"/>
      <c r="N126" s="6"/>
      <c r="O126" s="6"/>
      <c r="P126" s="9"/>
      <c r="Q126" s="9"/>
      <c r="R126" s="9"/>
      <c r="S126" s="9"/>
      <c r="T126" s="9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29">
        <f>700*7</f>
        <v>4900</v>
      </c>
      <c r="AL126" s="18"/>
      <c r="AM126" s="5"/>
      <c r="AN126" s="5"/>
      <c r="AO126" s="7">
        <f t="shared" si="1"/>
        <v>0</v>
      </c>
    </row>
    <row r="127" spans="1:41" ht="39.950000000000003" customHeight="1" x14ac:dyDescent="0.25">
      <c r="A127" s="6"/>
      <c r="B127" s="6"/>
      <c r="C127" s="12" t="s">
        <v>101</v>
      </c>
      <c r="D127" s="12" t="s">
        <v>102</v>
      </c>
      <c r="E127" s="13">
        <v>106050709</v>
      </c>
      <c r="F127" s="14" t="s">
        <v>467</v>
      </c>
      <c r="G127" s="12" t="s">
        <v>40</v>
      </c>
      <c r="H127" s="6"/>
      <c r="I127" s="12" t="s">
        <v>1094</v>
      </c>
      <c r="J127" s="6"/>
      <c r="K127" s="6"/>
      <c r="L127" s="12" t="s">
        <v>861</v>
      </c>
      <c r="M127" s="6"/>
      <c r="N127" s="6"/>
      <c r="O127" s="6"/>
      <c r="P127" s="9"/>
      <c r="Q127" s="9"/>
      <c r="R127" s="9"/>
      <c r="S127" s="9"/>
      <c r="T127" s="9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29">
        <f>34710*7</f>
        <v>242970</v>
      </c>
      <c r="AL127" s="18"/>
      <c r="AM127" s="5"/>
      <c r="AN127" s="5"/>
      <c r="AO127" s="7">
        <f t="shared" si="1"/>
        <v>0</v>
      </c>
    </row>
    <row r="128" spans="1:41" ht="39.950000000000003" customHeight="1" x14ac:dyDescent="0.25">
      <c r="A128" s="6"/>
      <c r="B128" s="6"/>
      <c r="C128" s="12" t="s">
        <v>101</v>
      </c>
      <c r="D128" s="12" t="s">
        <v>102</v>
      </c>
      <c r="E128" s="13">
        <v>106050909</v>
      </c>
      <c r="F128" s="14" t="s">
        <v>44</v>
      </c>
      <c r="G128" s="12" t="s">
        <v>38</v>
      </c>
      <c r="H128" s="6"/>
      <c r="I128" s="12" t="s">
        <v>711</v>
      </c>
      <c r="J128" s="6"/>
      <c r="K128" s="6"/>
      <c r="L128" s="12" t="s">
        <v>896</v>
      </c>
      <c r="M128" s="6"/>
      <c r="N128" s="6"/>
      <c r="O128" s="6"/>
      <c r="P128" s="9"/>
      <c r="Q128" s="9"/>
      <c r="R128" s="9"/>
      <c r="S128" s="9"/>
      <c r="T128" s="9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29">
        <f>274500*7</f>
        <v>1921500</v>
      </c>
      <c r="AL128" s="18"/>
      <c r="AM128" s="5"/>
      <c r="AN128" s="5"/>
      <c r="AO128" s="7">
        <f t="shared" si="1"/>
        <v>0</v>
      </c>
    </row>
    <row r="129" spans="1:41" ht="39.950000000000003" customHeight="1" x14ac:dyDescent="0.25">
      <c r="A129" s="6"/>
      <c r="B129" s="6"/>
      <c r="C129" s="12" t="s">
        <v>101</v>
      </c>
      <c r="D129" s="12" t="s">
        <v>102</v>
      </c>
      <c r="E129" s="13">
        <v>106050910</v>
      </c>
      <c r="F129" s="14" t="s">
        <v>956</v>
      </c>
      <c r="G129" s="12" t="s">
        <v>947</v>
      </c>
      <c r="H129" s="6"/>
      <c r="I129" s="12" t="s">
        <v>1095</v>
      </c>
      <c r="J129" s="6"/>
      <c r="K129" s="6"/>
      <c r="L129" s="12" t="s">
        <v>1096</v>
      </c>
      <c r="M129" s="6"/>
      <c r="N129" s="6"/>
      <c r="O129" s="6"/>
      <c r="P129" s="9"/>
      <c r="Q129" s="9"/>
      <c r="R129" s="9"/>
      <c r="S129" s="9"/>
      <c r="T129" s="9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29">
        <f>90*7</f>
        <v>630</v>
      </c>
      <c r="AL129" s="18"/>
      <c r="AM129" s="5"/>
      <c r="AN129" s="5"/>
      <c r="AO129" s="7">
        <f t="shared" si="1"/>
        <v>0</v>
      </c>
    </row>
    <row r="130" spans="1:41" ht="39.950000000000003" customHeight="1" x14ac:dyDescent="0.25">
      <c r="A130" s="6"/>
      <c r="B130" s="6"/>
      <c r="C130" s="12" t="s">
        <v>101</v>
      </c>
      <c r="D130" s="12" t="s">
        <v>102</v>
      </c>
      <c r="E130" s="13">
        <v>106050913</v>
      </c>
      <c r="F130" s="14" t="s">
        <v>257</v>
      </c>
      <c r="G130" s="12" t="s">
        <v>63</v>
      </c>
      <c r="H130" s="6"/>
      <c r="I130" s="12" t="s">
        <v>1072</v>
      </c>
      <c r="J130" s="6"/>
      <c r="K130" s="6"/>
      <c r="L130" s="12" t="s">
        <v>776</v>
      </c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29">
        <f>2236*7</f>
        <v>15652</v>
      </c>
      <c r="AL130" s="18"/>
      <c r="AM130" s="5"/>
      <c r="AN130" s="5"/>
      <c r="AO130" s="7">
        <f t="shared" si="1"/>
        <v>0</v>
      </c>
    </row>
    <row r="131" spans="1:41" ht="39.950000000000003" customHeight="1" x14ac:dyDescent="0.25">
      <c r="A131" s="6"/>
      <c r="B131" s="6"/>
      <c r="C131" s="12" t="s">
        <v>101</v>
      </c>
      <c r="D131" s="12" t="s">
        <v>102</v>
      </c>
      <c r="E131" s="13">
        <v>106060209</v>
      </c>
      <c r="F131" s="14" t="s">
        <v>155</v>
      </c>
      <c r="G131" s="12" t="s">
        <v>39</v>
      </c>
      <c r="H131" s="6"/>
      <c r="I131" s="12" t="s">
        <v>596</v>
      </c>
      <c r="J131" s="6"/>
      <c r="K131" s="6"/>
      <c r="L131" s="12" t="s">
        <v>734</v>
      </c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29">
        <f>28366*7</f>
        <v>198562</v>
      </c>
      <c r="AL131" s="18"/>
      <c r="AM131" s="5"/>
      <c r="AN131" s="5"/>
      <c r="AO131" s="7">
        <f t="shared" si="1"/>
        <v>0</v>
      </c>
    </row>
    <row r="132" spans="1:41" ht="39.950000000000003" customHeight="1" x14ac:dyDescent="0.25">
      <c r="A132" s="6"/>
      <c r="B132" s="6"/>
      <c r="C132" s="12" t="s">
        <v>101</v>
      </c>
      <c r="D132" s="12" t="s">
        <v>221</v>
      </c>
      <c r="E132" s="13">
        <v>106070103</v>
      </c>
      <c r="F132" s="14" t="s">
        <v>222</v>
      </c>
      <c r="G132" s="12" t="s">
        <v>63</v>
      </c>
      <c r="H132" s="6"/>
      <c r="I132" s="12" t="s">
        <v>646</v>
      </c>
      <c r="J132" s="6"/>
      <c r="K132" s="6"/>
      <c r="L132" s="12" t="s">
        <v>759</v>
      </c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29">
        <f>182*7</f>
        <v>1274</v>
      </c>
      <c r="AL132" s="18"/>
      <c r="AM132" s="5"/>
      <c r="AN132" s="5"/>
      <c r="AO132" s="7">
        <f t="shared" si="1"/>
        <v>0</v>
      </c>
    </row>
    <row r="133" spans="1:41" ht="39.950000000000003" customHeight="1" x14ac:dyDescent="0.25">
      <c r="A133" s="6"/>
      <c r="B133" s="6"/>
      <c r="C133" s="12" t="s">
        <v>101</v>
      </c>
      <c r="D133" s="12" t="s">
        <v>221</v>
      </c>
      <c r="E133" s="13">
        <v>106070203</v>
      </c>
      <c r="F133" s="14" t="s">
        <v>223</v>
      </c>
      <c r="G133" s="12" t="s">
        <v>63</v>
      </c>
      <c r="H133" s="6"/>
      <c r="I133" s="12" t="s">
        <v>646</v>
      </c>
      <c r="J133" s="6"/>
      <c r="K133" s="6"/>
      <c r="L133" s="12" t="s">
        <v>759</v>
      </c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29">
        <f>867*7</f>
        <v>6069</v>
      </c>
      <c r="AL133" s="18"/>
      <c r="AM133" s="5"/>
      <c r="AN133" s="5"/>
      <c r="AO133" s="7">
        <f t="shared" si="1"/>
        <v>0</v>
      </c>
    </row>
    <row r="134" spans="1:41" ht="39.950000000000003" customHeight="1" x14ac:dyDescent="0.25">
      <c r="A134" s="6"/>
      <c r="B134" s="6"/>
      <c r="C134" s="12" t="s">
        <v>101</v>
      </c>
      <c r="D134" s="12" t="s">
        <v>221</v>
      </c>
      <c r="E134" s="13">
        <v>106070503</v>
      </c>
      <c r="F134" s="14" t="s">
        <v>224</v>
      </c>
      <c r="G134" s="12" t="s">
        <v>63</v>
      </c>
      <c r="H134" s="6"/>
      <c r="I134" s="12" t="s">
        <v>646</v>
      </c>
      <c r="J134" s="6"/>
      <c r="K134" s="6"/>
      <c r="L134" s="12" t="s">
        <v>760</v>
      </c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29">
        <f>82.72*7</f>
        <v>579.04</v>
      </c>
      <c r="AL134" s="18"/>
      <c r="AM134" s="5"/>
      <c r="AN134" s="5"/>
      <c r="AO134" s="7">
        <f t="shared" si="1"/>
        <v>0</v>
      </c>
    </row>
    <row r="135" spans="1:41" ht="39.950000000000003" customHeight="1" x14ac:dyDescent="0.25">
      <c r="A135" s="6"/>
      <c r="B135" s="6"/>
      <c r="C135" s="12" t="s">
        <v>101</v>
      </c>
      <c r="D135" s="12" t="s">
        <v>221</v>
      </c>
      <c r="E135" s="13">
        <v>106070903</v>
      </c>
      <c r="F135" s="14" t="s">
        <v>225</v>
      </c>
      <c r="G135" s="12" t="s">
        <v>63</v>
      </c>
      <c r="H135" s="6"/>
      <c r="I135" s="12" t="s">
        <v>646</v>
      </c>
      <c r="J135" s="6"/>
      <c r="K135" s="6"/>
      <c r="L135" s="12" t="s">
        <v>760</v>
      </c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29">
        <f>56.17*7</f>
        <v>393.19</v>
      </c>
      <c r="AL135" s="18"/>
      <c r="AM135" s="5"/>
      <c r="AN135" s="5"/>
      <c r="AO135" s="7">
        <f t="shared" si="1"/>
        <v>0</v>
      </c>
    </row>
    <row r="136" spans="1:41" ht="39.950000000000003" customHeight="1" x14ac:dyDescent="0.25">
      <c r="A136" s="6"/>
      <c r="B136" s="6"/>
      <c r="C136" s="12" t="s">
        <v>101</v>
      </c>
      <c r="D136" s="12" t="s">
        <v>221</v>
      </c>
      <c r="E136" s="13">
        <v>106071503</v>
      </c>
      <c r="F136" s="14" t="s">
        <v>1041</v>
      </c>
      <c r="G136" s="12" t="s">
        <v>1042</v>
      </c>
      <c r="H136" s="6"/>
      <c r="I136" s="12" t="s">
        <v>646</v>
      </c>
      <c r="J136" s="6"/>
      <c r="K136" s="6"/>
      <c r="L136" s="12" t="s">
        <v>760</v>
      </c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29">
        <f>61.47*7</f>
        <v>430.28999999999996</v>
      </c>
      <c r="AL136" s="18"/>
      <c r="AM136" s="5"/>
      <c r="AN136" s="5"/>
      <c r="AO136" s="7">
        <f t="shared" ref="AO136:AO210" si="2">(AM136*AN136+AM136)*AL136</f>
        <v>0</v>
      </c>
    </row>
    <row r="137" spans="1:41" ht="39.950000000000003" customHeight="1" x14ac:dyDescent="0.25">
      <c r="A137" s="6"/>
      <c r="B137" s="6"/>
      <c r="C137" s="12" t="s">
        <v>101</v>
      </c>
      <c r="D137" s="12" t="s">
        <v>221</v>
      </c>
      <c r="E137" s="13">
        <v>106071504</v>
      </c>
      <c r="F137" s="14" t="s">
        <v>1043</v>
      </c>
      <c r="G137" s="12" t="s">
        <v>1042</v>
      </c>
      <c r="H137" s="6"/>
      <c r="I137" s="12" t="s">
        <v>646</v>
      </c>
      <c r="J137" s="6"/>
      <c r="K137" s="6"/>
      <c r="L137" s="12" t="s">
        <v>760</v>
      </c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29">
        <f>39.87*7</f>
        <v>279.08999999999997</v>
      </c>
      <c r="AL137" s="18"/>
      <c r="AM137" s="5"/>
      <c r="AN137" s="5"/>
      <c r="AO137" s="7">
        <f t="shared" si="2"/>
        <v>0</v>
      </c>
    </row>
    <row r="138" spans="1:41" ht="39.950000000000003" customHeight="1" x14ac:dyDescent="0.25">
      <c r="A138" s="6"/>
      <c r="B138" s="6"/>
      <c r="C138" s="12" t="s">
        <v>101</v>
      </c>
      <c r="D138" s="12" t="s">
        <v>102</v>
      </c>
      <c r="E138" s="13">
        <v>106080209</v>
      </c>
      <c r="F138" s="14" t="s">
        <v>45</v>
      </c>
      <c r="G138" s="12" t="s">
        <v>40</v>
      </c>
      <c r="H138" s="6"/>
      <c r="I138" s="12" t="s">
        <v>712</v>
      </c>
      <c r="J138" s="6"/>
      <c r="K138" s="6"/>
      <c r="L138" s="12" t="s">
        <v>815</v>
      </c>
      <c r="M138" s="6"/>
      <c r="N138" s="6"/>
      <c r="O138" s="6"/>
      <c r="P138" s="9"/>
      <c r="Q138" s="9"/>
      <c r="R138" s="9"/>
      <c r="S138" s="9"/>
      <c r="T138" s="9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29">
        <f>32194*7</f>
        <v>225358</v>
      </c>
      <c r="AL138" s="18"/>
      <c r="AM138" s="5"/>
      <c r="AN138" s="5"/>
      <c r="AO138" s="7">
        <f t="shared" si="2"/>
        <v>0</v>
      </c>
    </row>
    <row r="139" spans="1:41" ht="39.950000000000003" customHeight="1" x14ac:dyDescent="0.25">
      <c r="A139" s="6"/>
      <c r="B139" s="6"/>
      <c r="C139" s="12" t="s">
        <v>101</v>
      </c>
      <c r="D139" s="12" t="s">
        <v>102</v>
      </c>
      <c r="E139" s="13">
        <v>106080508</v>
      </c>
      <c r="F139" s="14" t="s">
        <v>957</v>
      </c>
      <c r="G139" s="12" t="s">
        <v>40</v>
      </c>
      <c r="H139" s="6"/>
      <c r="I139" s="12" t="s">
        <v>712</v>
      </c>
      <c r="J139" s="6"/>
      <c r="K139" s="6"/>
      <c r="L139" s="12"/>
      <c r="M139" s="6"/>
      <c r="N139" s="6"/>
      <c r="O139" s="6"/>
      <c r="P139" s="9"/>
      <c r="Q139" s="9"/>
      <c r="R139" s="9"/>
      <c r="S139" s="9"/>
      <c r="T139" s="9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29">
        <f>5737.92*7</f>
        <v>40165.440000000002</v>
      </c>
      <c r="AL139" s="18"/>
      <c r="AM139" s="5"/>
      <c r="AN139" s="5"/>
      <c r="AO139" s="7">
        <f t="shared" si="2"/>
        <v>0</v>
      </c>
    </row>
    <row r="140" spans="1:41" ht="39.950000000000003" customHeight="1" x14ac:dyDescent="0.25">
      <c r="A140" s="6"/>
      <c r="B140" s="6"/>
      <c r="C140" s="12" t="s">
        <v>101</v>
      </c>
      <c r="D140" s="12" t="s">
        <v>102</v>
      </c>
      <c r="E140" s="13">
        <v>106080509</v>
      </c>
      <c r="F140" s="14" t="s">
        <v>117</v>
      </c>
      <c r="G140" s="12" t="s">
        <v>40</v>
      </c>
      <c r="H140" s="6"/>
      <c r="I140" s="12" t="s">
        <v>598</v>
      </c>
      <c r="J140" s="6"/>
      <c r="K140" s="6"/>
      <c r="L140" s="12" t="s">
        <v>727</v>
      </c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29">
        <f>594695*7</f>
        <v>4162865</v>
      </c>
      <c r="AL140" s="18"/>
      <c r="AM140" s="5"/>
      <c r="AN140" s="5"/>
      <c r="AO140" s="7">
        <f t="shared" si="2"/>
        <v>0</v>
      </c>
    </row>
    <row r="141" spans="1:41" ht="39.950000000000003" customHeight="1" x14ac:dyDescent="0.25">
      <c r="A141" s="6"/>
      <c r="B141" s="6"/>
      <c r="C141" s="12" t="s">
        <v>101</v>
      </c>
      <c r="D141" s="12" t="s">
        <v>102</v>
      </c>
      <c r="E141" s="13">
        <v>106080510</v>
      </c>
      <c r="F141" s="14" t="s">
        <v>958</v>
      </c>
      <c r="G141" s="12" t="s">
        <v>40</v>
      </c>
      <c r="H141" s="6"/>
      <c r="I141" s="12" t="s">
        <v>1098</v>
      </c>
      <c r="J141" s="6"/>
      <c r="K141" s="6"/>
      <c r="L141" s="12" t="s">
        <v>1097</v>
      </c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29">
        <f>13688*7</f>
        <v>95816</v>
      </c>
      <c r="AL141" s="18"/>
      <c r="AM141" s="5"/>
      <c r="AN141" s="5"/>
      <c r="AO141" s="7">
        <f t="shared" si="2"/>
        <v>0</v>
      </c>
    </row>
    <row r="142" spans="1:41" ht="39.950000000000003" customHeight="1" x14ac:dyDescent="0.25">
      <c r="A142" s="6"/>
      <c r="B142" s="6"/>
      <c r="C142" s="12" t="s">
        <v>101</v>
      </c>
      <c r="D142" s="12" t="s">
        <v>102</v>
      </c>
      <c r="E142" s="13">
        <v>106090109</v>
      </c>
      <c r="F142" s="14" t="s">
        <v>160</v>
      </c>
      <c r="G142" s="12" t="s">
        <v>40</v>
      </c>
      <c r="H142" s="6"/>
      <c r="I142" s="12" t="s">
        <v>597</v>
      </c>
      <c r="J142" s="6"/>
      <c r="K142" s="6"/>
      <c r="L142" s="12" t="s">
        <v>732</v>
      </c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29">
        <f>298199*7</f>
        <v>2087393</v>
      </c>
      <c r="AL142" s="18"/>
      <c r="AM142" s="5"/>
      <c r="AN142" s="5"/>
      <c r="AO142" s="7">
        <f t="shared" si="2"/>
        <v>0</v>
      </c>
    </row>
    <row r="143" spans="1:41" ht="39.950000000000003" customHeight="1" x14ac:dyDescent="0.25">
      <c r="A143" s="6"/>
      <c r="B143" s="6"/>
      <c r="C143" s="12" t="s">
        <v>101</v>
      </c>
      <c r="D143" s="12" t="s">
        <v>102</v>
      </c>
      <c r="E143" s="13">
        <v>106090129</v>
      </c>
      <c r="F143" s="14" t="s">
        <v>462</v>
      </c>
      <c r="G143" s="12" t="s">
        <v>39</v>
      </c>
      <c r="H143" s="6"/>
      <c r="I143" s="12" t="s">
        <v>653</v>
      </c>
      <c r="J143" s="6"/>
      <c r="K143" s="6"/>
      <c r="L143" s="12" t="s">
        <v>859</v>
      </c>
      <c r="M143" s="6"/>
      <c r="N143" s="6"/>
      <c r="O143" s="6"/>
      <c r="P143" s="9"/>
      <c r="Q143" s="9"/>
      <c r="R143" s="9"/>
      <c r="S143" s="9"/>
      <c r="T143" s="9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29">
        <f>435*7</f>
        <v>3045</v>
      </c>
      <c r="AL143" s="18"/>
      <c r="AM143" s="5"/>
      <c r="AN143" s="5"/>
      <c r="AO143" s="7">
        <f t="shared" si="2"/>
        <v>0</v>
      </c>
    </row>
    <row r="144" spans="1:41" ht="39.950000000000003" customHeight="1" x14ac:dyDescent="0.25">
      <c r="A144" s="6"/>
      <c r="B144" s="6"/>
      <c r="C144" s="12" t="s">
        <v>101</v>
      </c>
      <c r="D144" s="12" t="s">
        <v>102</v>
      </c>
      <c r="E144" s="13">
        <v>106090140</v>
      </c>
      <c r="F144" s="14" t="s">
        <v>959</v>
      </c>
      <c r="G144" s="12" t="s">
        <v>40</v>
      </c>
      <c r="H144" s="6"/>
      <c r="I144" s="12" t="s">
        <v>653</v>
      </c>
      <c r="J144" s="6"/>
      <c r="K144" s="6"/>
      <c r="L144" s="12" t="s">
        <v>859</v>
      </c>
      <c r="M144" s="6"/>
      <c r="N144" s="6"/>
      <c r="O144" s="6"/>
      <c r="P144" s="9"/>
      <c r="Q144" s="9"/>
      <c r="R144" s="9"/>
      <c r="S144" s="9"/>
      <c r="T144" s="9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29">
        <f>65*7</f>
        <v>455</v>
      </c>
      <c r="AL144" s="18"/>
      <c r="AM144" s="5"/>
      <c r="AN144" s="5"/>
      <c r="AO144" s="7">
        <f t="shared" si="2"/>
        <v>0</v>
      </c>
    </row>
    <row r="145" spans="1:41" ht="39.950000000000003" customHeight="1" x14ac:dyDescent="0.25">
      <c r="A145" s="6"/>
      <c r="B145" s="6"/>
      <c r="C145" s="12" t="s">
        <v>101</v>
      </c>
      <c r="D145" s="12" t="s">
        <v>102</v>
      </c>
      <c r="E145" s="13">
        <v>106090209</v>
      </c>
      <c r="F145" s="14" t="s">
        <v>120</v>
      </c>
      <c r="G145" s="12" t="s">
        <v>40</v>
      </c>
      <c r="H145" s="6"/>
      <c r="I145" s="12" t="s">
        <v>598</v>
      </c>
      <c r="J145" s="6"/>
      <c r="K145" s="6"/>
      <c r="L145" s="12" t="s">
        <v>727</v>
      </c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29">
        <f>44179*7</f>
        <v>309253</v>
      </c>
      <c r="AL145" s="18"/>
      <c r="AM145" s="5"/>
      <c r="AN145" s="5"/>
      <c r="AO145" s="7">
        <f t="shared" si="2"/>
        <v>0</v>
      </c>
    </row>
    <row r="146" spans="1:41" ht="39.950000000000003" customHeight="1" x14ac:dyDescent="0.25">
      <c r="A146" s="6"/>
      <c r="B146" s="6"/>
      <c r="C146" s="12" t="s">
        <v>101</v>
      </c>
      <c r="D146" s="12" t="s">
        <v>102</v>
      </c>
      <c r="E146" s="13">
        <v>106090210</v>
      </c>
      <c r="F146" s="14" t="s">
        <v>960</v>
      </c>
      <c r="G146" s="12" t="s">
        <v>40</v>
      </c>
      <c r="H146" s="6"/>
      <c r="I146" s="12" t="s">
        <v>1083</v>
      </c>
      <c r="J146" s="6"/>
      <c r="K146" s="6"/>
      <c r="L146" s="12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29">
        <f>60*7</f>
        <v>420</v>
      </c>
      <c r="AL146" s="18"/>
      <c r="AM146" s="5"/>
      <c r="AN146" s="5"/>
      <c r="AO146" s="7">
        <f t="shared" si="2"/>
        <v>0</v>
      </c>
    </row>
    <row r="147" spans="1:41" ht="39.950000000000003" customHeight="1" x14ac:dyDescent="0.25">
      <c r="A147" s="6"/>
      <c r="B147" s="6"/>
      <c r="C147" s="12" t="s">
        <v>101</v>
      </c>
      <c r="D147" s="12" t="s">
        <v>102</v>
      </c>
      <c r="E147" s="13">
        <v>106100109</v>
      </c>
      <c r="F147" s="14" t="s">
        <v>210</v>
      </c>
      <c r="G147" s="12" t="s">
        <v>40</v>
      </c>
      <c r="H147" s="6"/>
      <c r="I147" s="12" t="s">
        <v>635</v>
      </c>
      <c r="J147" s="6"/>
      <c r="K147" s="6"/>
      <c r="L147" s="12" t="s">
        <v>737</v>
      </c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29">
        <f>150855*7</f>
        <v>1055985</v>
      </c>
      <c r="AL147" s="18"/>
      <c r="AM147" s="5"/>
      <c r="AN147" s="5"/>
      <c r="AO147" s="7">
        <f t="shared" si="2"/>
        <v>0</v>
      </c>
    </row>
    <row r="148" spans="1:41" ht="39.950000000000003" customHeight="1" x14ac:dyDescent="0.25">
      <c r="A148" s="6"/>
      <c r="B148" s="6"/>
      <c r="C148" s="12" t="s">
        <v>101</v>
      </c>
      <c r="D148" s="12" t="s">
        <v>102</v>
      </c>
      <c r="E148" s="13">
        <v>106100110</v>
      </c>
      <c r="F148" s="14" t="s">
        <v>961</v>
      </c>
      <c r="G148" s="12" t="s">
        <v>40</v>
      </c>
      <c r="H148" s="6"/>
      <c r="I148" s="12" t="s">
        <v>1100</v>
      </c>
      <c r="J148" s="6"/>
      <c r="K148" s="6"/>
      <c r="L148" s="12" t="s">
        <v>1099</v>
      </c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29">
        <f>2973*7</f>
        <v>20811</v>
      </c>
      <c r="AL148" s="18"/>
      <c r="AM148" s="5"/>
      <c r="AN148" s="5"/>
      <c r="AO148" s="7">
        <f t="shared" si="2"/>
        <v>0</v>
      </c>
    </row>
    <row r="149" spans="1:41" ht="39.950000000000003" customHeight="1" x14ac:dyDescent="0.25">
      <c r="A149" s="6"/>
      <c r="B149" s="6"/>
      <c r="C149" s="12" t="s">
        <v>101</v>
      </c>
      <c r="D149" s="12" t="s">
        <v>102</v>
      </c>
      <c r="E149" s="13">
        <v>106100112</v>
      </c>
      <c r="F149" s="14" t="s">
        <v>1008</v>
      </c>
      <c r="G149" s="12" t="s">
        <v>40</v>
      </c>
      <c r="H149" s="6"/>
      <c r="I149" s="12" t="s">
        <v>1100</v>
      </c>
      <c r="J149" s="6"/>
      <c r="K149" s="6"/>
      <c r="L149" s="12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29">
        <f>200*7</f>
        <v>1400</v>
      </c>
      <c r="AL149" s="18"/>
      <c r="AM149" s="5"/>
      <c r="AN149" s="5"/>
      <c r="AO149" s="7">
        <f t="shared" si="2"/>
        <v>0</v>
      </c>
    </row>
    <row r="150" spans="1:41" ht="39.950000000000003" customHeight="1" x14ac:dyDescent="0.25">
      <c r="A150" s="6"/>
      <c r="B150" s="6"/>
      <c r="C150" s="12" t="s">
        <v>101</v>
      </c>
      <c r="D150" s="12" t="s">
        <v>102</v>
      </c>
      <c r="E150" s="13">
        <v>106100113</v>
      </c>
      <c r="F150" s="14" t="s">
        <v>1009</v>
      </c>
      <c r="G150" s="12" t="s">
        <v>40</v>
      </c>
      <c r="H150" s="6"/>
      <c r="I150" s="12" t="s">
        <v>633</v>
      </c>
      <c r="J150" s="6"/>
      <c r="K150" s="6"/>
      <c r="L150" s="12" t="s">
        <v>1101</v>
      </c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29">
        <f>600*7</f>
        <v>4200</v>
      </c>
      <c r="AL150" s="18"/>
      <c r="AM150" s="5"/>
      <c r="AN150" s="5"/>
      <c r="AO150" s="7">
        <f t="shared" si="2"/>
        <v>0</v>
      </c>
    </row>
    <row r="151" spans="1:41" ht="39.950000000000003" customHeight="1" x14ac:dyDescent="0.25">
      <c r="A151" s="6"/>
      <c r="B151" s="6"/>
      <c r="C151" s="12" t="s">
        <v>101</v>
      </c>
      <c r="D151" s="12" t="s">
        <v>102</v>
      </c>
      <c r="E151" s="13">
        <v>106100115</v>
      </c>
      <c r="F151" s="14" t="s">
        <v>962</v>
      </c>
      <c r="G151" s="12" t="s">
        <v>40</v>
      </c>
      <c r="H151" s="6"/>
      <c r="I151" s="12" t="s">
        <v>1103</v>
      </c>
      <c r="J151" s="6"/>
      <c r="K151" s="6"/>
      <c r="L151" s="12" t="s">
        <v>1102</v>
      </c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29">
        <f>4826*7</f>
        <v>33782</v>
      </c>
      <c r="AL151" s="18"/>
      <c r="AM151" s="5"/>
      <c r="AN151" s="5"/>
      <c r="AO151" s="7">
        <f t="shared" si="2"/>
        <v>0</v>
      </c>
    </row>
    <row r="152" spans="1:41" ht="39.950000000000003" customHeight="1" x14ac:dyDescent="0.25">
      <c r="A152" s="6"/>
      <c r="B152" s="6"/>
      <c r="C152" s="12" t="s">
        <v>101</v>
      </c>
      <c r="D152" s="12" t="s">
        <v>102</v>
      </c>
      <c r="E152" s="13">
        <v>106100361</v>
      </c>
      <c r="F152" s="14" t="s">
        <v>963</v>
      </c>
      <c r="G152" s="12" t="s">
        <v>40</v>
      </c>
      <c r="H152" s="6"/>
      <c r="I152" s="12" t="s">
        <v>635</v>
      </c>
      <c r="J152" s="6"/>
      <c r="K152" s="6"/>
      <c r="L152" s="12" t="s">
        <v>1104</v>
      </c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29">
        <f>1763*7</f>
        <v>12341</v>
      </c>
      <c r="AL152" s="18"/>
      <c r="AM152" s="5"/>
      <c r="AN152" s="5"/>
      <c r="AO152" s="7">
        <f t="shared" si="2"/>
        <v>0</v>
      </c>
    </row>
    <row r="153" spans="1:41" ht="39.950000000000003" customHeight="1" x14ac:dyDescent="0.25">
      <c r="A153" s="6"/>
      <c r="B153" s="6"/>
      <c r="C153" s="12" t="s">
        <v>101</v>
      </c>
      <c r="D153" s="12" t="s">
        <v>102</v>
      </c>
      <c r="E153" s="13">
        <v>107010103</v>
      </c>
      <c r="F153" s="14" t="s">
        <v>245</v>
      </c>
      <c r="G153" s="12" t="s">
        <v>41</v>
      </c>
      <c r="H153" s="6"/>
      <c r="I153" s="12" t="s">
        <v>1106</v>
      </c>
      <c r="J153" s="6"/>
      <c r="K153" s="6"/>
      <c r="L153" s="12" t="s">
        <v>762</v>
      </c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29">
        <f>1725*7</f>
        <v>12075</v>
      </c>
      <c r="AL153" s="18"/>
      <c r="AM153" s="5"/>
      <c r="AN153" s="5"/>
      <c r="AO153" s="7">
        <f t="shared" si="2"/>
        <v>0</v>
      </c>
    </row>
    <row r="154" spans="1:41" ht="39.950000000000003" customHeight="1" x14ac:dyDescent="0.25">
      <c r="A154" s="6"/>
      <c r="B154" s="6"/>
      <c r="C154" s="12" t="s">
        <v>101</v>
      </c>
      <c r="D154" s="12" t="s">
        <v>102</v>
      </c>
      <c r="E154" s="13">
        <v>107010203</v>
      </c>
      <c r="F154" s="14" t="s">
        <v>360</v>
      </c>
      <c r="G154" s="12" t="s">
        <v>63</v>
      </c>
      <c r="H154" s="6"/>
      <c r="I154" s="12" t="s">
        <v>1105</v>
      </c>
      <c r="J154" s="6"/>
      <c r="K154" s="6"/>
      <c r="L154" s="12" t="s">
        <v>816</v>
      </c>
      <c r="M154" s="6"/>
      <c r="N154" s="6"/>
      <c r="O154" s="6"/>
      <c r="P154" s="9"/>
      <c r="Q154" s="9"/>
      <c r="R154" s="9"/>
      <c r="S154" s="9"/>
      <c r="T154" s="9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29">
        <f>2292*7</f>
        <v>16044</v>
      </c>
      <c r="AL154" s="18"/>
      <c r="AM154" s="5"/>
      <c r="AN154" s="5"/>
      <c r="AO154" s="7">
        <f t="shared" si="2"/>
        <v>0</v>
      </c>
    </row>
    <row r="155" spans="1:41" ht="39.950000000000003" customHeight="1" x14ac:dyDescent="0.25">
      <c r="A155" s="6"/>
      <c r="B155" s="6"/>
      <c r="C155" s="12" t="s">
        <v>101</v>
      </c>
      <c r="D155" s="12" t="s">
        <v>102</v>
      </c>
      <c r="E155" s="13">
        <v>107010309</v>
      </c>
      <c r="F155" s="14" t="s">
        <v>293</v>
      </c>
      <c r="G155" s="12" t="s">
        <v>40</v>
      </c>
      <c r="H155" s="6"/>
      <c r="I155" s="12" t="s">
        <v>637</v>
      </c>
      <c r="J155" s="6"/>
      <c r="K155" s="6"/>
      <c r="L155" s="12" t="s">
        <v>727</v>
      </c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29">
        <f>39908*7</f>
        <v>279356</v>
      </c>
      <c r="AL155" s="18"/>
      <c r="AM155" s="5"/>
      <c r="AN155" s="5"/>
      <c r="AO155" s="7">
        <f t="shared" si="2"/>
        <v>0</v>
      </c>
    </row>
    <row r="156" spans="1:41" ht="39.950000000000003" customHeight="1" x14ac:dyDescent="0.25">
      <c r="A156" s="6"/>
      <c r="B156" s="6"/>
      <c r="C156" s="12" t="s">
        <v>101</v>
      </c>
      <c r="D156" s="12" t="s">
        <v>102</v>
      </c>
      <c r="E156" s="13">
        <v>107010603</v>
      </c>
      <c r="F156" s="14" t="s">
        <v>255</v>
      </c>
      <c r="G156" s="12" t="s">
        <v>41</v>
      </c>
      <c r="H156" s="6"/>
      <c r="I156" s="12" t="s">
        <v>650</v>
      </c>
      <c r="J156" s="6"/>
      <c r="K156" s="6"/>
      <c r="L156" s="12" t="s">
        <v>746</v>
      </c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29">
        <f>723*7</f>
        <v>5061</v>
      </c>
      <c r="AL156" s="18"/>
      <c r="AM156" s="5"/>
      <c r="AN156" s="5"/>
      <c r="AO156" s="7">
        <f t="shared" si="2"/>
        <v>0</v>
      </c>
    </row>
    <row r="157" spans="1:41" ht="39.950000000000003" customHeight="1" x14ac:dyDescent="0.25">
      <c r="A157" s="6"/>
      <c r="B157" s="6"/>
      <c r="C157" s="12" t="s">
        <v>101</v>
      </c>
      <c r="D157" s="12" t="s">
        <v>102</v>
      </c>
      <c r="E157" s="13">
        <v>107010903</v>
      </c>
      <c r="F157" s="14" t="s">
        <v>275</v>
      </c>
      <c r="G157" s="12" t="s">
        <v>41</v>
      </c>
      <c r="H157" s="6"/>
      <c r="I157" s="12" t="s">
        <v>1106</v>
      </c>
      <c r="J157" s="6"/>
      <c r="K157" s="6"/>
      <c r="L157" s="12" t="s">
        <v>762</v>
      </c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29">
        <f>4176*7</f>
        <v>29232</v>
      </c>
      <c r="AL157" s="18"/>
      <c r="AM157" s="5"/>
      <c r="AN157" s="5"/>
      <c r="AO157" s="7">
        <f t="shared" si="2"/>
        <v>0</v>
      </c>
    </row>
    <row r="158" spans="1:41" ht="39.950000000000003" customHeight="1" x14ac:dyDescent="0.25">
      <c r="A158" s="6"/>
      <c r="B158" s="6"/>
      <c r="C158" s="12" t="s">
        <v>101</v>
      </c>
      <c r="D158" s="12" t="s">
        <v>102</v>
      </c>
      <c r="E158" s="13">
        <v>107010904</v>
      </c>
      <c r="F158" s="14" t="s">
        <v>964</v>
      </c>
      <c r="G158" s="12" t="s">
        <v>41</v>
      </c>
      <c r="H158" s="6"/>
      <c r="I158" s="12" t="s">
        <v>1106</v>
      </c>
      <c r="J158" s="6"/>
      <c r="K158" s="6"/>
      <c r="L158" s="12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29">
        <f>26*7</f>
        <v>182</v>
      </c>
      <c r="AL158" s="18"/>
      <c r="AM158" s="5"/>
      <c r="AN158" s="5"/>
      <c r="AO158" s="7">
        <f t="shared" si="2"/>
        <v>0</v>
      </c>
    </row>
    <row r="159" spans="1:41" ht="39.950000000000003" customHeight="1" x14ac:dyDescent="0.25">
      <c r="A159" s="6"/>
      <c r="B159" s="6"/>
      <c r="C159" s="12" t="s">
        <v>101</v>
      </c>
      <c r="D159" s="12" t="s">
        <v>102</v>
      </c>
      <c r="E159" s="13">
        <v>107011303</v>
      </c>
      <c r="F159" s="14" t="s">
        <v>352</v>
      </c>
      <c r="G159" s="12" t="s">
        <v>63</v>
      </c>
      <c r="H159" s="6"/>
      <c r="I159" s="12" t="s">
        <v>623</v>
      </c>
      <c r="J159" s="6"/>
      <c r="K159" s="6"/>
      <c r="L159" s="12" t="s">
        <v>822</v>
      </c>
      <c r="M159" s="6"/>
      <c r="N159" s="6"/>
      <c r="O159" s="6"/>
      <c r="P159" s="9"/>
      <c r="Q159" s="9"/>
      <c r="R159" s="9"/>
      <c r="S159" s="9"/>
      <c r="T159" s="9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29">
        <f>122*7</f>
        <v>854</v>
      </c>
      <c r="AL159" s="18"/>
      <c r="AM159" s="5"/>
      <c r="AN159" s="5"/>
      <c r="AO159" s="7">
        <f t="shared" si="2"/>
        <v>0</v>
      </c>
    </row>
    <row r="160" spans="1:41" ht="39.950000000000003" customHeight="1" x14ac:dyDescent="0.25">
      <c r="A160" s="6"/>
      <c r="B160" s="6"/>
      <c r="C160" s="12" t="s">
        <v>101</v>
      </c>
      <c r="D160" s="12" t="s">
        <v>102</v>
      </c>
      <c r="E160" s="13">
        <v>107020209</v>
      </c>
      <c r="F160" s="14" t="s">
        <v>175</v>
      </c>
      <c r="G160" s="12" t="s">
        <v>40</v>
      </c>
      <c r="H160" s="6"/>
      <c r="I160" s="12" t="s">
        <v>627</v>
      </c>
      <c r="J160" s="6"/>
      <c r="K160" s="6"/>
      <c r="L160" s="12" t="s">
        <v>751</v>
      </c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29">
        <f>1557*7</f>
        <v>10899</v>
      </c>
      <c r="AL160" s="18"/>
      <c r="AM160" s="5"/>
      <c r="AN160" s="5"/>
      <c r="AO160" s="7">
        <f t="shared" si="2"/>
        <v>0</v>
      </c>
    </row>
    <row r="161" spans="1:41" ht="39.950000000000003" customHeight="1" x14ac:dyDescent="0.25">
      <c r="A161" s="6"/>
      <c r="B161" s="6"/>
      <c r="C161" s="12" t="s">
        <v>101</v>
      </c>
      <c r="D161" s="12" t="s">
        <v>102</v>
      </c>
      <c r="E161" s="13">
        <v>107020409</v>
      </c>
      <c r="F161" s="14" t="s">
        <v>588</v>
      </c>
      <c r="G161" s="12" t="s">
        <v>589</v>
      </c>
      <c r="H161" s="6"/>
      <c r="I161" s="12" t="s">
        <v>702</v>
      </c>
      <c r="J161" s="6"/>
      <c r="K161" s="6"/>
      <c r="L161" s="12" t="s">
        <v>888</v>
      </c>
      <c r="M161" s="6"/>
      <c r="N161" s="6"/>
      <c r="O161" s="6"/>
      <c r="P161" s="9"/>
      <c r="Q161" s="9"/>
      <c r="R161" s="9"/>
      <c r="S161" s="9"/>
      <c r="T161" s="9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29">
        <f>1319*7</f>
        <v>9233</v>
      </c>
      <c r="AL161" s="18"/>
      <c r="AM161" s="5"/>
      <c r="AN161" s="5"/>
      <c r="AO161" s="7">
        <f t="shared" si="2"/>
        <v>0</v>
      </c>
    </row>
    <row r="162" spans="1:41" ht="39.950000000000003" customHeight="1" x14ac:dyDescent="0.25">
      <c r="A162" s="6"/>
      <c r="B162" s="6"/>
      <c r="C162" s="12" t="s">
        <v>101</v>
      </c>
      <c r="D162" s="12" t="s">
        <v>102</v>
      </c>
      <c r="E162" s="13">
        <v>107020509</v>
      </c>
      <c r="F162" s="14" t="s">
        <v>297</v>
      </c>
      <c r="G162" s="12" t="s">
        <v>40</v>
      </c>
      <c r="H162" s="6"/>
      <c r="I162" s="12" t="s">
        <v>637</v>
      </c>
      <c r="J162" s="6"/>
      <c r="K162" s="6"/>
      <c r="L162" s="12" t="s">
        <v>804</v>
      </c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29">
        <f>10*7</f>
        <v>70</v>
      </c>
      <c r="AL162" s="18"/>
      <c r="AM162" s="5"/>
      <c r="AN162" s="5"/>
      <c r="AO162" s="7">
        <f t="shared" si="2"/>
        <v>0</v>
      </c>
    </row>
    <row r="163" spans="1:41" ht="39.950000000000003" customHeight="1" x14ac:dyDescent="0.25">
      <c r="A163" s="6"/>
      <c r="B163" s="6"/>
      <c r="C163" s="12" t="s">
        <v>101</v>
      </c>
      <c r="D163" s="12" t="s">
        <v>102</v>
      </c>
      <c r="E163" s="13">
        <v>107020806</v>
      </c>
      <c r="F163" s="30" t="s">
        <v>267</v>
      </c>
      <c r="G163" s="12" t="s">
        <v>61</v>
      </c>
      <c r="H163" s="6"/>
      <c r="I163" s="12" t="s">
        <v>602</v>
      </c>
      <c r="J163" s="6"/>
      <c r="K163" s="6"/>
      <c r="L163" s="12" t="s">
        <v>786</v>
      </c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29">
        <f>157*7</f>
        <v>1099</v>
      </c>
      <c r="AL163" s="18"/>
      <c r="AM163" s="5"/>
      <c r="AN163" s="5"/>
      <c r="AO163" s="7">
        <f t="shared" si="2"/>
        <v>0</v>
      </c>
    </row>
    <row r="164" spans="1:41" ht="39.950000000000003" customHeight="1" x14ac:dyDescent="0.25">
      <c r="A164" s="6"/>
      <c r="B164" s="6"/>
      <c r="C164" s="12" t="s">
        <v>101</v>
      </c>
      <c r="D164" s="12" t="s">
        <v>102</v>
      </c>
      <c r="E164" s="13">
        <v>107020903</v>
      </c>
      <c r="F164" s="14" t="s">
        <v>46</v>
      </c>
      <c r="G164" s="12" t="s">
        <v>41</v>
      </c>
      <c r="H164" s="6"/>
      <c r="I164" s="12" t="s">
        <v>706</v>
      </c>
      <c r="J164" s="6"/>
      <c r="K164" s="6"/>
      <c r="L164" s="12" t="s">
        <v>791</v>
      </c>
      <c r="M164" s="6"/>
      <c r="N164" s="6"/>
      <c r="O164" s="6"/>
      <c r="P164" s="9"/>
      <c r="Q164" s="9"/>
      <c r="R164" s="9"/>
      <c r="S164" s="9"/>
      <c r="T164" s="9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29">
        <f>484*7</f>
        <v>3388</v>
      </c>
      <c r="AL164" s="18"/>
      <c r="AM164" s="5"/>
      <c r="AN164" s="5"/>
      <c r="AO164" s="7">
        <f t="shared" si="2"/>
        <v>0</v>
      </c>
    </row>
    <row r="165" spans="1:41" ht="39.950000000000003" customHeight="1" x14ac:dyDescent="0.25">
      <c r="A165" s="6"/>
      <c r="B165" s="6"/>
      <c r="C165" s="12" t="s">
        <v>101</v>
      </c>
      <c r="D165" s="12" t="s">
        <v>102</v>
      </c>
      <c r="E165" s="13">
        <v>107021011</v>
      </c>
      <c r="F165" s="14" t="s">
        <v>1044</v>
      </c>
      <c r="G165" s="12" t="s">
        <v>59</v>
      </c>
      <c r="H165" s="6"/>
      <c r="I165" s="12" t="s">
        <v>1107</v>
      </c>
      <c r="J165" s="6"/>
      <c r="K165" s="6"/>
      <c r="L165" s="12" t="s">
        <v>768</v>
      </c>
      <c r="M165" s="6"/>
      <c r="N165" s="6"/>
      <c r="O165" s="6"/>
      <c r="P165" s="9"/>
      <c r="Q165" s="9"/>
      <c r="R165" s="9"/>
      <c r="S165" s="9"/>
      <c r="T165" s="9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29">
        <f>500*7</f>
        <v>3500</v>
      </c>
      <c r="AL165" s="18"/>
      <c r="AM165" s="5"/>
      <c r="AN165" s="5"/>
      <c r="AO165" s="7">
        <f t="shared" si="2"/>
        <v>0</v>
      </c>
    </row>
    <row r="166" spans="1:41" ht="39.950000000000003" customHeight="1" x14ac:dyDescent="0.25">
      <c r="A166" s="6"/>
      <c r="B166" s="6"/>
      <c r="C166" s="12" t="s">
        <v>101</v>
      </c>
      <c r="D166" s="12" t="s">
        <v>102</v>
      </c>
      <c r="E166" s="13">
        <v>107021209</v>
      </c>
      <c r="F166" s="14" t="s">
        <v>197</v>
      </c>
      <c r="G166" s="12" t="s">
        <v>198</v>
      </c>
      <c r="H166" s="6"/>
      <c r="I166" s="12" t="s">
        <v>638</v>
      </c>
      <c r="J166" s="6"/>
      <c r="K166" s="6"/>
      <c r="L166" s="12" t="s">
        <v>726</v>
      </c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29">
        <f>15.83*7</f>
        <v>110.81</v>
      </c>
      <c r="AL166" s="18"/>
      <c r="AM166" s="5"/>
      <c r="AN166" s="5"/>
      <c r="AO166" s="7">
        <f t="shared" si="2"/>
        <v>0</v>
      </c>
    </row>
    <row r="167" spans="1:41" ht="39.950000000000003" customHeight="1" x14ac:dyDescent="0.25">
      <c r="A167" s="6"/>
      <c r="B167" s="6"/>
      <c r="C167" s="12" t="s">
        <v>101</v>
      </c>
      <c r="D167" s="12" t="s">
        <v>102</v>
      </c>
      <c r="E167" s="13">
        <v>107021303</v>
      </c>
      <c r="F167" s="14" t="s">
        <v>590</v>
      </c>
      <c r="G167" s="12" t="s">
        <v>41</v>
      </c>
      <c r="H167" s="6"/>
      <c r="I167" s="12" t="s">
        <v>640</v>
      </c>
      <c r="J167" s="6"/>
      <c r="K167" s="6"/>
      <c r="L167" s="12" t="s">
        <v>888</v>
      </c>
      <c r="M167" s="6"/>
      <c r="N167" s="6"/>
      <c r="O167" s="6"/>
      <c r="P167" s="9"/>
      <c r="Q167" s="9"/>
      <c r="R167" s="9"/>
      <c r="S167" s="9"/>
      <c r="T167" s="9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29">
        <f>1432*7</f>
        <v>10024</v>
      </c>
      <c r="AL167" s="18"/>
      <c r="AM167" s="5"/>
      <c r="AN167" s="5"/>
      <c r="AO167" s="7">
        <f t="shared" si="2"/>
        <v>0</v>
      </c>
    </row>
    <row r="168" spans="1:41" ht="39.950000000000003" customHeight="1" x14ac:dyDescent="0.25">
      <c r="A168" s="6"/>
      <c r="B168" s="6"/>
      <c r="C168" s="12" t="s">
        <v>101</v>
      </c>
      <c r="D168" s="12" t="s">
        <v>399</v>
      </c>
      <c r="E168" s="23">
        <v>107030109</v>
      </c>
      <c r="F168" s="24" t="s">
        <v>400</v>
      </c>
      <c r="G168" s="12" t="s">
        <v>40</v>
      </c>
      <c r="H168" s="6"/>
      <c r="I168" s="12" t="s">
        <v>613</v>
      </c>
      <c r="J168" s="6"/>
      <c r="K168" s="6"/>
      <c r="L168" s="12"/>
      <c r="M168" s="6"/>
      <c r="N168" s="6"/>
      <c r="O168" s="6"/>
      <c r="P168" s="9"/>
      <c r="Q168" s="9"/>
      <c r="R168" s="9"/>
      <c r="S168" s="9"/>
      <c r="T168" s="9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29">
        <f>227103*7</f>
        <v>1589721</v>
      </c>
      <c r="AL168" s="18"/>
      <c r="AM168" s="5"/>
      <c r="AN168" s="5"/>
      <c r="AO168" s="7">
        <f t="shared" si="2"/>
        <v>0</v>
      </c>
    </row>
    <row r="169" spans="1:41" ht="39.950000000000003" customHeight="1" x14ac:dyDescent="0.25">
      <c r="A169" s="6"/>
      <c r="B169" s="6"/>
      <c r="C169" s="12" t="s">
        <v>101</v>
      </c>
      <c r="D169" s="12" t="s">
        <v>399</v>
      </c>
      <c r="E169" s="23">
        <v>107030409</v>
      </c>
      <c r="F169" s="24" t="s">
        <v>401</v>
      </c>
      <c r="G169" s="12" t="s">
        <v>40</v>
      </c>
      <c r="H169" s="6"/>
      <c r="I169" s="12" t="s">
        <v>613</v>
      </c>
      <c r="J169" s="6"/>
      <c r="K169" s="6"/>
      <c r="L169" s="12"/>
      <c r="M169" s="6"/>
      <c r="N169" s="6"/>
      <c r="O169" s="6"/>
      <c r="P169" s="9"/>
      <c r="Q169" s="9"/>
      <c r="R169" s="9"/>
      <c r="S169" s="9"/>
      <c r="T169" s="9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29">
        <f>107795*7</f>
        <v>754565</v>
      </c>
      <c r="AL169" s="18"/>
      <c r="AM169" s="5"/>
      <c r="AN169" s="5"/>
      <c r="AO169" s="7">
        <f t="shared" si="2"/>
        <v>0</v>
      </c>
    </row>
    <row r="170" spans="1:41" ht="39.950000000000003" customHeight="1" x14ac:dyDescent="0.25">
      <c r="A170" s="6"/>
      <c r="B170" s="6"/>
      <c r="C170" s="12" t="s">
        <v>101</v>
      </c>
      <c r="D170" s="12" t="s">
        <v>102</v>
      </c>
      <c r="E170" s="23">
        <v>107030425</v>
      </c>
      <c r="F170" s="24" t="s">
        <v>991</v>
      </c>
      <c r="G170" s="12" t="s">
        <v>40</v>
      </c>
      <c r="H170" s="6"/>
      <c r="I170" s="12" t="s">
        <v>613</v>
      </c>
      <c r="J170" s="6"/>
      <c r="K170" s="6"/>
      <c r="L170" s="12"/>
      <c r="M170" s="6"/>
      <c r="N170" s="6"/>
      <c r="O170" s="6"/>
      <c r="P170" s="9"/>
      <c r="Q170" s="9"/>
      <c r="R170" s="9"/>
      <c r="S170" s="9"/>
      <c r="T170" s="9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29">
        <f>8851*7</f>
        <v>61957</v>
      </c>
      <c r="AL170" s="18"/>
      <c r="AM170" s="5"/>
      <c r="AN170" s="5"/>
      <c r="AO170" s="7">
        <f t="shared" si="2"/>
        <v>0</v>
      </c>
    </row>
    <row r="171" spans="1:41" ht="39.950000000000003" customHeight="1" x14ac:dyDescent="0.25">
      <c r="A171" s="6"/>
      <c r="B171" s="6"/>
      <c r="C171" s="12" t="s">
        <v>101</v>
      </c>
      <c r="D171" s="12" t="s">
        <v>102</v>
      </c>
      <c r="E171" s="23">
        <v>107030462</v>
      </c>
      <c r="F171" s="24" t="s">
        <v>1010</v>
      </c>
      <c r="G171" s="12" t="s">
        <v>40</v>
      </c>
      <c r="H171" s="6"/>
      <c r="I171" s="12" t="s">
        <v>613</v>
      </c>
      <c r="J171" s="6"/>
      <c r="K171" s="6"/>
      <c r="L171" s="12"/>
      <c r="M171" s="6"/>
      <c r="N171" s="6"/>
      <c r="O171" s="6"/>
      <c r="P171" s="9"/>
      <c r="Q171" s="9"/>
      <c r="R171" s="9"/>
      <c r="S171" s="9"/>
      <c r="T171" s="9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29">
        <f>60*7</f>
        <v>420</v>
      </c>
      <c r="AL171" s="18"/>
      <c r="AM171" s="5"/>
      <c r="AN171" s="5"/>
      <c r="AO171" s="7">
        <f t="shared" si="2"/>
        <v>0</v>
      </c>
    </row>
    <row r="172" spans="1:41" ht="39.950000000000003" customHeight="1" x14ac:dyDescent="0.25">
      <c r="A172" s="6"/>
      <c r="B172" s="6"/>
      <c r="C172" s="12" t="s">
        <v>101</v>
      </c>
      <c r="D172" s="12" t="s">
        <v>102</v>
      </c>
      <c r="E172" s="23">
        <v>107030465</v>
      </c>
      <c r="F172" s="24" t="s">
        <v>992</v>
      </c>
      <c r="G172" s="12" t="s">
        <v>40</v>
      </c>
      <c r="H172" s="6"/>
      <c r="I172" s="12" t="s">
        <v>613</v>
      </c>
      <c r="J172" s="6"/>
      <c r="K172" s="6"/>
      <c r="L172" s="12"/>
      <c r="M172" s="6"/>
      <c r="N172" s="6"/>
      <c r="O172" s="6"/>
      <c r="P172" s="9"/>
      <c r="Q172" s="9"/>
      <c r="R172" s="9"/>
      <c r="S172" s="9"/>
      <c r="T172" s="9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29">
        <f>5110*7</f>
        <v>35770</v>
      </c>
      <c r="AL172" s="18"/>
      <c r="AM172" s="5"/>
      <c r="AN172" s="5"/>
      <c r="AO172" s="7">
        <f t="shared" si="2"/>
        <v>0</v>
      </c>
    </row>
    <row r="173" spans="1:41" ht="39.950000000000003" customHeight="1" x14ac:dyDescent="0.25">
      <c r="A173" s="6"/>
      <c r="B173" s="6"/>
      <c r="C173" s="12" t="s">
        <v>101</v>
      </c>
      <c r="D173" s="12" t="s">
        <v>102</v>
      </c>
      <c r="E173" s="23">
        <v>107030467</v>
      </c>
      <c r="F173" s="24" t="s">
        <v>993</v>
      </c>
      <c r="G173" s="12" t="s">
        <v>40</v>
      </c>
      <c r="H173" s="6"/>
      <c r="I173" s="12" t="s">
        <v>613</v>
      </c>
      <c r="J173" s="6"/>
      <c r="K173" s="6"/>
      <c r="L173" s="12"/>
      <c r="M173" s="6"/>
      <c r="N173" s="6"/>
      <c r="O173" s="6"/>
      <c r="P173" s="9"/>
      <c r="Q173" s="9"/>
      <c r="R173" s="9"/>
      <c r="S173" s="9"/>
      <c r="T173" s="9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29">
        <f>574*7</f>
        <v>4018</v>
      </c>
      <c r="AL173" s="18"/>
      <c r="AM173" s="5"/>
      <c r="AN173" s="5"/>
      <c r="AO173" s="7">
        <f t="shared" si="2"/>
        <v>0</v>
      </c>
    </row>
    <row r="174" spans="1:41" ht="39.950000000000003" customHeight="1" x14ac:dyDescent="0.25">
      <c r="A174" s="6"/>
      <c r="B174" s="6"/>
      <c r="C174" s="12" t="s">
        <v>101</v>
      </c>
      <c r="D174" s="12" t="s">
        <v>102</v>
      </c>
      <c r="E174" s="23">
        <v>107030470</v>
      </c>
      <c r="F174" s="24" t="s">
        <v>994</v>
      </c>
      <c r="G174" s="12" t="s">
        <v>40</v>
      </c>
      <c r="H174" s="6"/>
      <c r="I174" s="12" t="s">
        <v>613</v>
      </c>
      <c r="J174" s="6"/>
      <c r="K174" s="6"/>
      <c r="L174" s="12"/>
      <c r="M174" s="6"/>
      <c r="N174" s="6"/>
      <c r="O174" s="6"/>
      <c r="P174" s="9"/>
      <c r="Q174" s="9"/>
      <c r="R174" s="9"/>
      <c r="S174" s="9"/>
      <c r="T174" s="9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29">
        <f>361*7</f>
        <v>2527</v>
      </c>
      <c r="AL174" s="18"/>
      <c r="AM174" s="5"/>
      <c r="AN174" s="5"/>
      <c r="AO174" s="7">
        <f t="shared" si="2"/>
        <v>0</v>
      </c>
    </row>
    <row r="175" spans="1:41" ht="39.950000000000003" customHeight="1" x14ac:dyDescent="0.25">
      <c r="A175" s="6"/>
      <c r="B175" s="6"/>
      <c r="C175" s="12" t="s">
        <v>101</v>
      </c>
      <c r="D175" s="12" t="s">
        <v>102</v>
      </c>
      <c r="E175" s="23">
        <v>107030471</v>
      </c>
      <c r="F175" s="24" t="s">
        <v>995</v>
      </c>
      <c r="G175" s="12" t="s">
        <v>40</v>
      </c>
      <c r="H175" s="6"/>
      <c r="I175" s="12" t="s">
        <v>613</v>
      </c>
      <c r="J175" s="6"/>
      <c r="K175" s="6"/>
      <c r="L175" s="12"/>
      <c r="M175" s="6"/>
      <c r="N175" s="6"/>
      <c r="O175" s="6"/>
      <c r="P175" s="9"/>
      <c r="Q175" s="9"/>
      <c r="R175" s="9"/>
      <c r="S175" s="9"/>
      <c r="T175" s="9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29">
        <f>2225*7</f>
        <v>15575</v>
      </c>
      <c r="AL175" s="18"/>
      <c r="AM175" s="5"/>
      <c r="AN175" s="5"/>
      <c r="AO175" s="7">
        <f t="shared" si="2"/>
        <v>0</v>
      </c>
    </row>
    <row r="176" spans="1:41" ht="39.950000000000003" customHeight="1" x14ac:dyDescent="0.25">
      <c r="A176" s="6"/>
      <c r="B176" s="6"/>
      <c r="C176" s="12" t="s">
        <v>101</v>
      </c>
      <c r="D176" s="12" t="s">
        <v>102</v>
      </c>
      <c r="E176" s="23">
        <v>107030472</v>
      </c>
      <c r="F176" s="24" t="s">
        <v>996</v>
      </c>
      <c r="G176" s="12" t="s">
        <v>40</v>
      </c>
      <c r="H176" s="6"/>
      <c r="I176" s="12" t="s">
        <v>613</v>
      </c>
      <c r="J176" s="6"/>
      <c r="K176" s="6"/>
      <c r="L176" s="12"/>
      <c r="M176" s="6"/>
      <c r="N176" s="6"/>
      <c r="O176" s="6"/>
      <c r="P176" s="9"/>
      <c r="Q176" s="9"/>
      <c r="R176" s="9"/>
      <c r="S176" s="9"/>
      <c r="T176" s="9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29">
        <f>60*7</f>
        <v>420</v>
      </c>
      <c r="AL176" s="18"/>
      <c r="AM176" s="5"/>
      <c r="AN176" s="5"/>
      <c r="AO176" s="7">
        <f t="shared" si="2"/>
        <v>0</v>
      </c>
    </row>
    <row r="177" spans="1:41" ht="39.950000000000003" customHeight="1" x14ac:dyDescent="0.25">
      <c r="A177" s="6"/>
      <c r="B177" s="6"/>
      <c r="C177" s="12" t="s">
        <v>101</v>
      </c>
      <c r="D177" s="12" t="s">
        <v>102</v>
      </c>
      <c r="E177" s="23">
        <v>107030473</v>
      </c>
      <c r="F177" s="24" t="s">
        <v>1011</v>
      </c>
      <c r="G177" s="12" t="s">
        <v>40</v>
      </c>
      <c r="H177" s="6"/>
      <c r="I177" s="12" t="s">
        <v>613</v>
      </c>
      <c r="J177" s="6"/>
      <c r="K177" s="6"/>
      <c r="L177" s="12"/>
      <c r="M177" s="6"/>
      <c r="N177" s="6"/>
      <c r="O177" s="6"/>
      <c r="P177" s="9"/>
      <c r="Q177" s="9"/>
      <c r="R177" s="9"/>
      <c r="S177" s="9"/>
      <c r="T177" s="9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29">
        <f>1764*7</f>
        <v>12348</v>
      </c>
      <c r="AL177" s="18"/>
      <c r="AM177" s="5"/>
      <c r="AN177" s="5"/>
      <c r="AO177" s="7">
        <f t="shared" si="2"/>
        <v>0</v>
      </c>
    </row>
    <row r="178" spans="1:41" ht="39.950000000000003" customHeight="1" x14ac:dyDescent="0.25">
      <c r="A178" s="6"/>
      <c r="B178" s="6"/>
      <c r="C178" s="12" t="s">
        <v>101</v>
      </c>
      <c r="D178" s="12" t="s">
        <v>102</v>
      </c>
      <c r="E178" s="23">
        <v>107030475</v>
      </c>
      <c r="F178" s="24" t="s">
        <v>1012</v>
      </c>
      <c r="G178" s="12" t="s">
        <v>40</v>
      </c>
      <c r="H178" s="6"/>
      <c r="I178" s="12" t="s">
        <v>613</v>
      </c>
      <c r="J178" s="6"/>
      <c r="K178" s="6"/>
      <c r="L178" s="12"/>
      <c r="M178" s="6"/>
      <c r="N178" s="6"/>
      <c r="O178" s="6"/>
      <c r="P178" s="9"/>
      <c r="Q178" s="9"/>
      <c r="R178" s="9"/>
      <c r="S178" s="9"/>
      <c r="T178" s="9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29">
        <f>490*7</f>
        <v>3430</v>
      </c>
      <c r="AL178" s="18"/>
      <c r="AM178" s="5"/>
      <c r="AN178" s="5"/>
      <c r="AO178" s="7">
        <f t="shared" si="2"/>
        <v>0</v>
      </c>
    </row>
    <row r="179" spans="1:41" ht="39.950000000000003" customHeight="1" x14ac:dyDescent="0.25">
      <c r="A179" s="6"/>
      <c r="B179" s="6"/>
      <c r="C179" s="12" t="s">
        <v>101</v>
      </c>
      <c r="D179" s="12" t="s">
        <v>102</v>
      </c>
      <c r="E179" s="23">
        <v>107030480</v>
      </c>
      <c r="F179" s="24" t="s">
        <v>1013</v>
      </c>
      <c r="G179" s="12" t="s">
        <v>40</v>
      </c>
      <c r="H179" s="6"/>
      <c r="I179" s="12" t="s">
        <v>613</v>
      </c>
      <c r="J179" s="6"/>
      <c r="K179" s="6"/>
      <c r="L179" s="12"/>
      <c r="M179" s="6"/>
      <c r="N179" s="6"/>
      <c r="O179" s="6"/>
      <c r="P179" s="9"/>
      <c r="Q179" s="9"/>
      <c r="R179" s="9"/>
      <c r="S179" s="9"/>
      <c r="T179" s="9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29">
        <f>556*7</f>
        <v>3892</v>
      </c>
      <c r="AL179" s="18"/>
      <c r="AM179" s="5"/>
      <c r="AN179" s="5"/>
      <c r="AO179" s="7">
        <f t="shared" si="2"/>
        <v>0</v>
      </c>
    </row>
    <row r="180" spans="1:41" ht="39.950000000000003" customHeight="1" x14ac:dyDescent="0.25">
      <c r="A180" s="6"/>
      <c r="B180" s="6"/>
      <c r="C180" s="12" t="s">
        <v>101</v>
      </c>
      <c r="D180" s="12" t="s">
        <v>102</v>
      </c>
      <c r="E180" s="13">
        <v>107040109</v>
      </c>
      <c r="F180" s="14" t="s">
        <v>165</v>
      </c>
      <c r="G180" s="12" t="s">
        <v>40</v>
      </c>
      <c r="H180" s="6"/>
      <c r="I180" s="12" t="s">
        <v>622</v>
      </c>
      <c r="J180" s="6"/>
      <c r="K180" s="6"/>
      <c r="L180" s="12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29">
        <f>10*7</f>
        <v>70</v>
      </c>
      <c r="AL180" s="18"/>
      <c r="AM180" s="5"/>
      <c r="AN180" s="5"/>
      <c r="AO180" s="7">
        <f t="shared" si="2"/>
        <v>0</v>
      </c>
    </row>
    <row r="181" spans="1:41" ht="39.950000000000003" customHeight="1" x14ac:dyDescent="0.25">
      <c r="A181" s="6"/>
      <c r="B181" s="6"/>
      <c r="C181" s="12" t="s">
        <v>101</v>
      </c>
      <c r="D181" s="12" t="s">
        <v>102</v>
      </c>
      <c r="E181" s="13">
        <v>107050109</v>
      </c>
      <c r="F181" s="14" t="s">
        <v>166</v>
      </c>
      <c r="G181" s="12" t="s">
        <v>40</v>
      </c>
      <c r="H181" s="6"/>
      <c r="I181" s="12" t="s">
        <v>596</v>
      </c>
      <c r="J181" s="6"/>
      <c r="K181" s="6"/>
      <c r="L181" s="12" t="s">
        <v>747</v>
      </c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29">
        <f>18790*7</f>
        <v>131530</v>
      </c>
      <c r="AL181" s="18"/>
      <c r="AM181" s="5"/>
      <c r="AN181" s="5"/>
      <c r="AO181" s="7">
        <f t="shared" si="2"/>
        <v>0</v>
      </c>
    </row>
    <row r="182" spans="1:41" ht="39.950000000000003" customHeight="1" x14ac:dyDescent="0.25">
      <c r="A182" s="6"/>
      <c r="B182" s="6"/>
      <c r="C182" s="12" t="s">
        <v>101</v>
      </c>
      <c r="D182" s="12" t="s">
        <v>1199</v>
      </c>
      <c r="E182" s="13">
        <v>108010207</v>
      </c>
      <c r="F182" s="14" t="s">
        <v>1200</v>
      </c>
      <c r="G182" s="12" t="s">
        <v>84</v>
      </c>
      <c r="H182" s="6"/>
      <c r="I182" s="12" t="s">
        <v>1211</v>
      </c>
      <c r="J182" s="6"/>
      <c r="K182" s="6"/>
      <c r="L182" s="12" t="s">
        <v>1108</v>
      </c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29">
        <f>2624*7</f>
        <v>18368</v>
      </c>
      <c r="AL182" s="18"/>
      <c r="AM182" s="5"/>
      <c r="AN182" s="5"/>
      <c r="AO182" s="7">
        <f t="shared" si="2"/>
        <v>0</v>
      </c>
    </row>
    <row r="183" spans="1:41" ht="39.950000000000003" customHeight="1" x14ac:dyDescent="0.25">
      <c r="A183" s="6"/>
      <c r="B183" s="6"/>
      <c r="C183" s="12" t="s">
        <v>101</v>
      </c>
      <c r="D183" s="12" t="s">
        <v>1199</v>
      </c>
      <c r="E183" s="13">
        <v>108031007</v>
      </c>
      <c r="F183" s="14" t="s">
        <v>1201</v>
      </c>
      <c r="G183" s="12" t="s">
        <v>84</v>
      </c>
      <c r="H183" s="6"/>
      <c r="I183" s="12" t="s">
        <v>1212</v>
      </c>
      <c r="J183" s="6"/>
      <c r="K183" s="6"/>
      <c r="L183" s="12" t="s">
        <v>1108</v>
      </c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29">
        <f>10800*7</f>
        <v>75600</v>
      </c>
      <c r="AL183" s="18"/>
      <c r="AM183" s="5"/>
      <c r="AN183" s="5"/>
      <c r="AO183" s="7">
        <f t="shared" si="2"/>
        <v>0</v>
      </c>
    </row>
    <row r="184" spans="1:41" ht="39.950000000000003" customHeight="1" x14ac:dyDescent="0.25">
      <c r="A184" s="6"/>
      <c r="B184" s="6"/>
      <c r="C184" s="12" t="s">
        <v>101</v>
      </c>
      <c r="D184" s="12" t="s">
        <v>1199</v>
      </c>
      <c r="E184" s="13">
        <v>108030506</v>
      </c>
      <c r="F184" s="14" t="s">
        <v>1202</v>
      </c>
      <c r="G184" s="12" t="s">
        <v>84</v>
      </c>
      <c r="H184" s="6"/>
      <c r="I184" s="12" t="s">
        <v>1213</v>
      </c>
      <c r="J184" s="6"/>
      <c r="K184" s="6"/>
      <c r="L184" s="12" t="s">
        <v>1108</v>
      </c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29">
        <f>500*7</f>
        <v>3500</v>
      </c>
      <c r="AL184" s="18"/>
      <c r="AM184" s="5"/>
      <c r="AN184" s="5"/>
      <c r="AO184" s="7">
        <f t="shared" si="2"/>
        <v>0</v>
      </c>
    </row>
    <row r="185" spans="1:41" ht="39.950000000000003" customHeight="1" x14ac:dyDescent="0.25">
      <c r="A185" s="6"/>
      <c r="B185" s="6"/>
      <c r="C185" s="12" t="s">
        <v>101</v>
      </c>
      <c r="D185" s="12" t="s">
        <v>1199</v>
      </c>
      <c r="E185" s="13">
        <v>108030507</v>
      </c>
      <c r="F185" s="14" t="s">
        <v>1203</v>
      </c>
      <c r="G185" s="12" t="s">
        <v>84</v>
      </c>
      <c r="H185" s="6"/>
      <c r="I185" s="12" t="s">
        <v>1214</v>
      </c>
      <c r="J185" s="6"/>
      <c r="K185" s="6"/>
      <c r="L185" s="12" t="s">
        <v>1108</v>
      </c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29">
        <f>16100*7</f>
        <v>112700</v>
      </c>
      <c r="AL185" s="18"/>
      <c r="AM185" s="5"/>
      <c r="AN185" s="5"/>
      <c r="AO185" s="7">
        <f t="shared" si="2"/>
        <v>0</v>
      </c>
    </row>
    <row r="186" spans="1:41" ht="39.950000000000003" customHeight="1" x14ac:dyDescent="0.25">
      <c r="A186" s="6"/>
      <c r="B186" s="6"/>
      <c r="C186" s="12" t="s">
        <v>101</v>
      </c>
      <c r="D186" s="12" t="s">
        <v>1199</v>
      </c>
      <c r="E186" s="13">
        <v>108020207</v>
      </c>
      <c r="F186" s="14" t="s">
        <v>1204</v>
      </c>
      <c r="G186" s="12" t="s">
        <v>84</v>
      </c>
      <c r="H186" s="6"/>
      <c r="I186" s="12" t="s">
        <v>1215</v>
      </c>
      <c r="J186" s="6"/>
      <c r="K186" s="6"/>
      <c r="L186" s="12" t="s">
        <v>1108</v>
      </c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29">
        <f>400*7</f>
        <v>2800</v>
      </c>
      <c r="AL186" s="18"/>
      <c r="AM186" s="5"/>
      <c r="AN186" s="5"/>
      <c r="AO186" s="7">
        <f t="shared" si="2"/>
        <v>0</v>
      </c>
    </row>
    <row r="187" spans="1:41" ht="39.950000000000003" customHeight="1" x14ac:dyDescent="0.25">
      <c r="A187" s="6"/>
      <c r="B187" s="6"/>
      <c r="C187" s="12" t="s">
        <v>101</v>
      </c>
      <c r="D187" s="12" t="s">
        <v>1199</v>
      </c>
      <c r="E187" s="13">
        <v>108020107</v>
      </c>
      <c r="F187" s="14" t="s">
        <v>1205</v>
      </c>
      <c r="G187" s="12" t="s">
        <v>84</v>
      </c>
      <c r="H187" s="6"/>
      <c r="I187" s="12" t="s">
        <v>1215</v>
      </c>
      <c r="J187" s="6"/>
      <c r="K187" s="6"/>
      <c r="L187" s="12" t="s">
        <v>1108</v>
      </c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29">
        <f>500*7</f>
        <v>3500</v>
      </c>
      <c r="AL187" s="18"/>
      <c r="AM187" s="5"/>
      <c r="AN187" s="5"/>
      <c r="AO187" s="7">
        <f t="shared" si="2"/>
        <v>0</v>
      </c>
    </row>
    <row r="188" spans="1:41" ht="39.950000000000003" customHeight="1" x14ac:dyDescent="0.25">
      <c r="A188" s="6"/>
      <c r="B188" s="6"/>
      <c r="C188" s="12" t="s">
        <v>101</v>
      </c>
      <c r="D188" s="12" t="s">
        <v>1199</v>
      </c>
      <c r="E188" s="13">
        <v>108030607</v>
      </c>
      <c r="F188" s="14" t="s">
        <v>1206</v>
      </c>
      <c r="G188" s="12" t="s">
        <v>84</v>
      </c>
      <c r="H188" s="6"/>
      <c r="I188" s="12" t="s">
        <v>1215</v>
      </c>
      <c r="J188" s="6"/>
      <c r="K188" s="6"/>
      <c r="L188" s="12" t="s">
        <v>1108</v>
      </c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29">
        <f>2100*7</f>
        <v>14700</v>
      </c>
      <c r="AL188" s="18"/>
      <c r="AM188" s="5"/>
      <c r="AN188" s="5"/>
      <c r="AO188" s="7">
        <f t="shared" si="2"/>
        <v>0</v>
      </c>
    </row>
    <row r="189" spans="1:41" ht="39.950000000000003" customHeight="1" x14ac:dyDescent="0.25">
      <c r="A189" s="6"/>
      <c r="B189" s="6"/>
      <c r="C189" s="12" t="s">
        <v>101</v>
      </c>
      <c r="D189" s="12" t="s">
        <v>1199</v>
      </c>
      <c r="E189" s="13">
        <v>105040607</v>
      </c>
      <c r="F189" s="14" t="s">
        <v>1207</v>
      </c>
      <c r="G189" s="12" t="s">
        <v>84</v>
      </c>
      <c r="H189" s="6"/>
      <c r="I189" s="12" t="s">
        <v>1215</v>
      </c>
      <c r="J189" s="6"/>
      <c r="K189" s="6"/>
      <c r="L189" s="12" t="s">
        <v>1108</v>
      </c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29">
        <f>30*7</f>
        <v>210</v>
      </c>
      <c r="AL189" s="18"/>
      <c r="AM189" s="5"/>
      <c r="AN189" s="5"/>
      <c r="AO189" s="7">
        <f t="shared" si="2"/>
        <v>0</v>
      </c>
    </row>
    <row r="190" spans="1:41" ht="39.950000000000003" customHeight="1" x14ac:dyDescent="0.25">
      <c r="A190" s="6"/>
      <c r="B190" s="6"/>
      <c r="C190" s="12" t="s">
        <v>101</v>
      </c>
      <c r="D190" s="12" t="s">
        <v>1199</v>
      </c>
      <c r="E190" s="13">
        <v>108010907</v>
      </c>
      <c r="F190" s="14" t="s">
        <v>1208</v>
      </c>
      <c r="G190" s="12" t="s">
        <v>84</v>
      </c>
      <c r="H190" s="6"/>
      <c r="I190" s="12" t="s">
        <v>1216</v>
      </c>
      <c r="J190" s="6"/>
      <c r="K190" s="6"/>
      <c r="L190" s="12" t="s">
        <v>1108</v>
      </c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29">
        <f>10*7</f>
        <v>70</v>
      </c>
      <c r="AL190" s="18"/>
      <c r="AM190" s="5"/>
      <c r="AN190" s="5"/>
      <c r="AO190" s="7">
        <f t="shared" si="2"/>
        <v>0</v>
      </c>
    </row>
    <row r="191" spans="1:41" ht="39.950000000000003" customHeight="1" x14ac:dyDescent="0.25">
      <c r="A191" s="6"/>
      <c r="B191" s="6"/>
      <c r="C191" s="12" t="s">
        <v>101</v>
      </c>
      <c r="D191" s="12" t="s">
        <v>1199</v>
      </c>
      <c r="E191" s="13">
        <v>108030616</v>
      </c>
      <c r="F191" s="14" t="s">
        <v>1209</v>
      </c>
      <c r="G191" s="12" t="s">
        <v>84</v>
      </c>
      <c r="H191" s="6"/>
      <c r="I191" s="12" t="s">
        <v>1216</v>
      </c>
      <c r="J191" s="6"/>
      <c r="K191" s="6"/>
      <c r="L191" s="12" t="s">
        <v>1108</v>
      </c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29">
        <f>55*7</f>
        <v>385</v>
      </c>
      <c r="AL191" s="18"/>
      <c r="AM191" s="5"/>
      <c r="AN191" s="5"/>
      <c r="AO191" s="7">
        <f t="shared" si="2"/>
        <v>0</v>
      </c>
    </row>
    <row r="192" spans="1:41" ht="39.950000000000003" customHeight="1" x14ac:dyDescent="0.25">
      <c r="A192" s="6"/>
      <c r="B192" s="6"/>
      <c r="C192" s="12" t="s">
        <v>101</v>
      </c>
      <c r="D192" s="12" t="s">
        <v>1199</v>
      </c>
      <c r="E192" s="13">
        <v>108030707</v>
      </c>
      <c r="F192" s="14" t="s">
        <v>1210</v>
      </c>
      <c r="G192" s="12" t="s">
        <v>84</v>
      </c>
      <c r="H192" s="6"/>
      <c r="I192" s="12" t="s">
        <v>1215</v>
      </c>
      <c r="J192" s="6"/>
      <c r="K192" s="6"/>
      <c r="L192" s="12" t="s">
        <v>1108</v>
      </c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29">
        <f>15*7</f>
        <v>105</v>
      </c>
      <c r="AL192" s="18"/>
      <c r="AM192" s="5"/>
      <c r="AN192" s="5"/>
      <c r="AO192" s="7">
        <f t="shared" si="2"/>
        <v>0</v>
      </c>
    </row>
    <row r="193" spans="1:41" ht="39.950000000000003" customHeight="1" x14ac:dyDescent="0.25">
      <c r="A193" s="6"/>
      <c r="B193" s="6"/>
      <c r="C193" s="12" t="s">
        <v>101</v>
      </c>
      <c r="D193" s="12" t="s">
        <v>102</v>
      </c>
      <c r="E193" s="13">
        <v>108030103</v>
      </c>
      <c r="F193" s="14" t="s">
        <v>204</v>
      </c>
      <c r="G193" s="12" t="s">
        <v>41</v>
      </c>
      <c r="H193" s="6"/>
      <c r="I193" s="12" t="s">
        <v>640</v>
      </c>
      <c r="J193" s="6"/>
      <c r="K193" s="6"/>
      <c r="L193" s="12" t="s">
        <v>753</v>
      </c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29">
        <f>88.83*7</f>
        <v>621.80999999999995</v>
      </c>
      <c r="AL193" s="18"/>
      <c r="AM193" s="5"/>
      <c r="AN193" s="5"/>
      <c r="AO193" s="7">
        <f t="shared" si="2"/>
        <v>0</v>
      </c>
    </row>
    <row r="194" spans="1:41" ht="39.950000000000003" customHeight="1" x14ac:dyDescent="0.25">
      <c r="A194" s="6"/>
      <c r="B194" s="6"/>
      <c r="C194" s="12" t="s">
        <v>101</v>
      </c>
      <c r="D194" s="12" t="s">
        <v>102</v>
      </c>
      <c r="E194" s="13">
        <v>108030203</v>
      </c>
      <c r="F194" s="14" t="s">
        <v>280</v>
      </c>
      <c r="G194" s="12" t="s">
        <v>41</v>
      </c>
      <c r="H194" s="6"/>
      <c r="I194" s="12" t="s">
        <v>640</v>
      </c>
      <c r="J194" s="6"/>
      <c r="K194" s="6"/>
      <c r="L194" s="12" t="s">
        <v>758</v>
      </c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29">
        <f>93.92*7</f>
        <v>657.44</v>
      </c>
      <c r="AL194" s="18"/>
      <c r="AM194" s="5"/>
      <c r="AN194" s="5"/>
      <c r="AO194" s="7">
        <f t="shared" si="2"/>
        <v>0</v>
      </c>
    </row>
    <row r="195" spans="1:41" ht="39.950000000000003" customHeight="1" x14ac:dyDescent="0.25">
      <c r="A195" s="6"/>
      <c r="B195" s="6"/>
      <c r="C195" s="12" t="s">
        <v>101</v>
      </c>
      <c r="D195" s="12" t="s">
        <v>102</v>
      </c>
      <c r="E195" s="13">
        <v>108030303</v>
      </c>
      <c r="F195" s="14" t="s">
        <v>194</v>
      </c>
      <c r="G195" s="12" t="s">
        <v>41</v>
      </c>
      <c r="H195" s="6"/>
      <c r="I195" s="12" t="s">
        <v>615</v>
      </c>
      <c r="J195" s="6"/>
      <c r="K195" s="6"/>
      <c r="L195" s="12" t="s">
        <v>741</v>
      </c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29">
        <f>688*7</f>
        <v>4816</v>
      </c>
      <c r="AL195" s="18"/>
      <c r="AM195" s="5"/>
      <c r="AN195" s="5"/>
      <c r="AO195" s="7">
        <f t="shared" si="2"/>
        <v>0</v>
      </c>
    </row>
    <row r="196" spans="1:41" ht="39.950000000000003" customHeight="1" x14ac:dyDescent="0.25">
      <c r="A196" s="6"/>
      <c r="B196" s="6"/>
      <c r="C196" s="12" t="s">
        <v>101</v>
      </c>
      <c r="D196" s="12" t="s">
        <v>102</v>
      </c>
      <c r="E196" s="13">
        <v>108030403</v>
      </c>
      <c r="F196" s="14" t="s">
        <v>156</v>
      </c>
      <c r="G196" s="12" t="s">
        <v>41</v>
      </c>
      <c r="H196" s="6"/>
      <c r="I196" s="12" t="s">
        <v>615</v>
      </c>
      <c r="J196" s="6"/>
      <c r="K196" s="6"/>
      <c r="L196" s="12" t="s">
        <v>741</v>
      </c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29">
        <f>464*7</f>
        <v>3248</v>
      </c>
      <c r="AL196" s="18"/>
      <c r="AM196" s="5"/>
      <c r="AN196" s="5"/>
      <c r="AO196" s="7">
        <f t="shared" si="2"/>
        <v>0</v>
      </c>
    </row>
    <row r="197" spans="1:41" ht="39.950000000000003" customHeight="1" x14ac:dyDescent="0.25">
      <c r="A197" s="6"/>
      <c r="B197" s="6"/>
      <c r="C197" s="12" t="s">
        <v>101</v>
      </c>
      <c r="D197" s="12" t="s">
        <v>102</v>
      </c>
      <c r="E197" s="13">
        <v>108031307</v>
      </c>
      <c r="F197" s="14" t="s">
        <v>1014</v>
      </c>
      <c r="G197" s="12" t="s">
        <v>84</v>
      </c>
      <c r="H197" s="6"/>
      <c r="I197" s="12" t="s">
        <v>1109</v>
      </c>
      <c r="J197" s="6"/>
      <c r="K197" s="6"/>
      <c r="L197" s="12" t="s">
        <v>1108</v>
      </c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29">
        <f>6*7</f>
        <v>42</v>
      </c>
      <c r="AL197" s="18"/>
      <c r="AM197" s="5"/>
      <c r="AN197" s="5"/>
      <c r="AO197" s="7">
        <f t="shared" si="2"/>
        <v>0</v>
      </c>
    </row>
    <row r="198" spans="1:41" ht="39.950000000000003" customHeight="1" x14ac:dyDescent="0.25">
      <c r="A198" s="6"/>
      <c r="B198" s="6"/>
      <c r="C198" s="12" t="s">
        <v>101</v>
      </c>
      <c r="D198" s="12" t="s">
        <v>102</v>
      </c>
      <c r="E198" s="13">
        <v>109010103</v>
      </c>
      <c r="F198" s="14" t="s">
        <v>343</v>
      </c>
      <c r="G198" s="12" t="s">
        <v>41</v>
      </c>
      <c r="H198" s="6"/>
      <c r="I198" s="12" t="s">
        <v>615</v>
      </c>
      <c r="J198" s="6"/>
      <c r="K198" s="6"/>
      <c r="L198" s="12" t="s">
        <v>816</v>
      </c>
      <c r="M198" s="6"/>
      <c r="N198" s="6"/>
      <c r="O198" s="6"/>
      <c r="P198" s="9"/>
      <c r="Q198" s="9"/>
      <c r="R198" s="9"/>
      <c r="S198" s="9"/>
      <c r="T198" s="9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29">
        <f>9931*7</f>
        <v>69517</v>
      </c>
      <c r="AL198" s="18"/>
      <c r="AM198" s="5"/>
      <c r="AN198" s="5"/>
      <c r="AO198" s="7">
        <f t="shared" si="2"/>
        <v>0</v>
      </c>
    </row>
    <row r="199" spans="1:41" ht="39.950000000000003" customHeight="1" x14ac:dyDescent="0.25">
      <c r="A199" s="6"/>
      <c r="B199" s="6"/>
      <c r="C199" s="12" t="s">
        <v>101</v>
      </c>
      <c r="D199" s="12" t="s">
        <v>102</v>
      </c>
      <c r="E199" s="13">
        <v>109010609</v>
      </c>
      <c r="F199" s="14" t="s">
        <v>214</v>
      </c>
      <c r="G199" s="12" t="s">
        <v>40</v>
      </c>
      <c r="H199" s="6"/>
      <c r="I199" s="12" t="s">
        <v>596</v>
      </c>
      <c r="J199" s="6"/>
      <c r="K199" s="6"/>
      <c r="L199" s="12" t="s">
        <v>727</v>
      </c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29">
        <f>17928*7</f>
        <v>125496</v>
      </c>
      <c r="AL199" s="18"/>
      <c r="AM199" s="5"/>
      <c r="AN199" s="5"/>
      <c r="AO199" s="7">
        <f t="shared" si="2"/>
        <v>0</v>
      </c>
    </row>
    <row r="200" spans="1:41" ht="39.950000000000003" customHeight="1" x14ac:dyDescent="0.25">
      <c r="A200" s="6"/>
      <c r="B200" s="6"/>
      <c r="C200" s="12" t="s">
        <v>101</v>
      </c>
      <c r="D200" s="12" t="s">
        <v>102</v>
      </c>
      <c r="E200" s="13">
        <v>109010620</v>
      </c>
      <c r="F200" s="14" t="s">
        <v>965</v>
      </c>
      <c r="G200" s="12" t="s">
        <v>40</v>
      </c>
      <c r="H200" s="6"/>
      <c r="I200" s="12" t="s">
        <v>635</v>
      </c>
      <c r="J200" s="6"/>
      <c r="K200" s="6"/>
      <c r="L200" s="12" t="s">
        <v>727</v>
      </c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29">
        <f>100*7</f>
        <v>700</v>
      </c>
      <c r="AL200" s="18"/>
      <c r="AM200" s="5"/>
      <c r="AN200" s="5"/>
      <c r="AO200" s="7">
        <f t="shared" si="2"/>
        <v>0</v>
      </c>
    </row>
    <row r="201" spans="1:41" ht="39.950000000000003" customHeight="1" x14ac:dyDescent="0.25">
      <c r="A201" s="6"/>
      <c r="B201" s="6"/>
      <c r="C201" s="12" t="s">
        <v>101</v>
      </c>
      <c r="D201" s="12" t="s">
        <v>102</v>
      </c>
      <c r="E201" s="13">
        <v>109010704</v>
      </c>
      <c r="F201" s="14" t="s">
        <v>125</v>
      </c>
      <c r="G201" s="12" t="s">
        <v>58</v>
      </c>
      <c r="H201" s="6"/>
      <c r="I201" s="12" t="s">
        <v>604</v>
      </c>
      <c r="J201" s="6"/>
      <c r="K201" s="6"/>
      <c r="L201" s="12" t="s">
        <v>734</v>
      </c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29">
        <f>149.33*7</f>
        <v>1045.3100000000002</v>
      </c>
      <c r="AL201" s="18"/>
      <c r="AM201" s="5"/>
      <c r="AN201" s="5"/>
      <c r="AO201" s="7">
        <f t="shared" si="2"/>
        <v>0</v>
      </c>
    </row>
    <row r="202" spans="1:41" ht="39.950000000000003" customHeight="1" x14ac:dyDescent="0.25">
      <c r="A202" s="6"/>
      <c r="B202" s="6"/>
      <c r="C202" s="12" t="s">
        <v>101</v>
      </c>
      <c r="D202" s="12" t="s">
        <v>102</v>
      </c>
      <c r="E202" s="13">
        <v>109010909</v>
      </c>
      <c r="F202" s="14" t="s">
        <v>157</v>
      </c>
      <c r="G202" s="12" t="s">
        <v>40</v>
      </c>
      <c r="H202" s="6"/>
      <c r="I202" s="12" t="s">
        <v>608</v>
      </c>
      <c r="J202" s="6"/>
      <c r="K202" s="6"/>
      <c r="L202" s="12" t="s">
        <v>730</v>
      </c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29">
        <f>13298*7</f>
        <v>93086</v>
      </c>
      <c r="AL202" s="18"/>
      <c r="AM202" s="5"/>
      <c r="AN202" s="5"/>
      <c r="AO202" s="7">
        <f t="shared" si="2"/>
        <v>0</v>
      </c>
    </row>
    <row r="203" spans="1:41" ht="39.950000000000003" customHeight="1" x14ac:dyDescent="0.25">
      <c r="A203" s="6"/>
      <c r="B203" s="6"/>
      <c r="C203" s="12" t="s">
        <v>101</v>
      </c>
      <c r="D203" s="12" t="s">
        <v>102</v>
      </c>
      <c r="E203" s="13">
        <v>109011209</v>
      </c>
      <c r="F203" s="14" t="s">
        <v>128</v>
      </c>
      <c r="G203" s="12" t="s">
        <v>40</v>
      </c>
      <c r="H203" s="6"/>
      <c r="I203" s="12" t="s">
        <v>598</v>
      </c>
      <c r="J203" s="6"/>
      <c r="K203" s="6"/>
      <c r="L203" s="12" t="s">
        <v>727</v>
      </c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29">
        <f>72476*7</f>
        <v>507332</v>
      </c>
      <c r="AL203" s="18"/>
      <c r="AM203" s="5"/>
      <c r="AN203" s="5"/>
      <c r="AO203" s="7">
        <f t="shared" si="2"/>
        <v>0</v>
      </c>
    </row>
    <row r="204" spans="1:41" ht="39.950000000000003" customHeight="1" x14ac:dyDescent="0.25">
      <c r="A204" s="6"/>
      <c r="B204" s="6"/>
      <c r="C204" s="12" t="s">
        <v>101</v>
      </c>
      <c r="D204" s="12" t="s">
        <v>102</v>
      </c>
      <c r="E204" s="13">
        <v>109011210</v>
      </c>
      <c r="F204" s="14" t="s">
        <v>966</v>
      </c>
      <c r="G204" s="12" t="s">
        <v>40</v>
      </c>
      <c r="H204" s="6"/>
      <c r="I204" s="12" t="s">
        <v>596</v>
      </c>
      <c r="J204" s="6"/>
      <c r="K204" s="6"/>
      <c r="L204" s="12" t="s">
        <v>1110</v>
      </c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29">
        <f>2129.1*7</f>
        <v>14903.699999999999</v>
      </c>
      <c r="AL204" s="18"/>
      <c r="AM204" s="5"/>
      <c r="AN204" s="5"/>
      <c r="AO204" s="7">
        <f t="shared" si="2"/>
        <v>0</v>
      </c>
    </row>
    <row r="205" spans="1:41" ht="39.950000000000003" customHeight="1" x14ac:dyDescent="0.25">
      <c r="A205" s="6"/>
      <c r="B205" s="6"/>
      <c r="C205" s="12" t="s">
        <v>101</v>
      </c>
      <c r="D205" s="12" t="s">
        <v>102</v>
      </c>
      <c r="E205" s="13">
        <v>109020209</v>
      </c>
      <c r="F205" s="14" t="s">
        <v>161</v>
      </c>
      <c r="G205" s="12" t="s">
        <v>40</v>
      </c>
      <c r="H205" s="6"/>
      <c r="I205" s="12" t="s">
        <v>596</v>
      </c>
      <c r="J205" s="6"/>
      <c r="K205" s="6"/>
      <c r="L205" s="12" t="s">
        <v>734</v>
      </c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29">
        <f>32978*7</f>
        <v>230846</v>
      </c>
      <c r="AL205" s="18"/>
      <c r="AM205" s="5"/>
      <c r="AN205" s="5"/>
      <c r="AO205" s="7">
        <f t="shared" si="2"/>
        <v>0</v>
      </c>
    </row>
    <row r="206" spans="1:41" ht="39.950000000000003" customHeight="1" x14ac:dyDescent="0.25">
      <c r="A206" s="6"/>
      <c r="B206" s="6"/>
      <c r="C206" s="12" t="s">
        <v>101</v>
      </c>
      <c r="D206" s="12" t="s">
        <v>102</v>
      </c>
      <c r="E206" s="13">
        <v>109030303</v>
      </c>
      <c r="F206" s="14" t="s">
        <v>268</v>
      </c>
      <c r="G206" s="12" t="s">
        <v>63</v>
      </c>
      <c r="H206" s="6"/>
      <c r="I206" s="12" t="s">
        <v>650</v>
      </c>
      <c r="J206" s="6"/>
      <c r="K206" s="6"/>
      <c r="L206" s="12" t="s">
        <v>1111</v>
      </c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29">
        <f>9*7</f>
        <v>63</v>
      </c>
      <c r="AL206" s="18"/>
      <c r="AM206" s="5"/>
      <c r="AN206" s="5"/>
      <c r="AO206" s="7">
        <f t="shared" si="2"/>
        <v>0</v>
      </c>
    </row>
    <row r="207" spans="1:41" ht="39.950000000000003" customHeight="1" x14ac:dyDescent="0.25">
      <c r="A207" s="6"/>
      <c r="B207" s="6"/>
      <c r="C207" s="12" t="s">
        <v>101</v>
      </c>
      <c r="D207" s="12" t="s">
        <v>102</v>
      </c>
      <c r="E207" s="13">
        <v>109030603</v>
      </c>
      <c r="F207" s="14" t="s">
        <v>361</v>
      </c>
      <c r="G207" s="12" t="s">
        <v>63</v>
      </c>
      <c r="H207" s="6"/>
      <c r="I207" s="12" t="s">
        <v>623</v>
      </c>
      <c r="J207" s="6"/>
      <c r="K207" s="6"/>
      <c r="L207" s="12" t="s">
        <v>823</v>
      </c>
      <c r="M207" s="6"/>
      <c r="N207" s="6"/>
      <c r="O207" s="6"/>
      <c r="P207" s="9"/>
      <c r="Q207" s="9"/>
      <c r="R207" s="9"/>
      <c r="S207" s="9"/>
      <c r="T207" s="9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29">
        <f>40*7</f>
        <v>280</v>
      </c>
      <c r="AL207" s="18"/>
      <c r="AM207" s="5"/>
      <c r="AN207" s="5"/>
      <c r="AO207" s="7">
        <f t="shared" si="2"/>
        <v>0</v>
      </c>
    </row>
    <row r="208" spans="1:41" ht="39.950000000000003" customHeight="1" x14ac:dyDescent="0.25">
      <c r="A208" s="6"/>
      <c r="B208" s="6"/>
      <c r="C208" s="12" t="s">
        <v>101</v>
      </c>
      <c r="D208" s="12" t="s">
        <v>102</v>
      </c>
      <c r="E208" s="13">
        <v>109040109</v>
      </c>
      <c r="F208" s="14" t="s">
        <v>366</v>
      </c>
      <c r="G208" s="12" t="s">
        <v>40</v>
      </c>
      <c r="H208" s="6"/>
      <c r="I208" s="12" t="s">
        <v>597</v>
      </c>
      <c r="J208" s="6"/>
      <c r="K208" s="6"/>
      <c r="L208" s="12" t="s">
        <v>815</v>
      </c>
      <c r="M208" s="6"/>
      <c r="N208" s="6"/>
      <c r="O208" s="6"/>
      <c r="P208" s="9"/>
      <c r="Q208" s="9"/>
      <c r="R208" s="9"/>
      <c r="S208" s="9"/>
      <c r="T208" s="9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29">
        <f>14044*7</f>
        <v>98308</v>
      </c>
      <c r="AL208" s="18"/>
      <c r="AM208" s="5"/>
      <c r="AN208" s="5"/>
      <c r="AO208" s="7">
        <f t="shared" si="2"/>
        <v>0</v>
      </c>
    </row>
    <row r="209" spans="1:41" ht="39.950000000000003" customHeight="1" x14ac:dyDescent="0.25">
      <c r="A209" s="6"/>
      <c r="B209" s="6"/>
      <c r="C209" s="12" t="s">
        <v>101</v>
      </c>
      <c r="D209" s="12" t="s">
        <v>102</v>
      </c>
      <c r="E209" s="13">
        <v>109040209</v>
      </c>
      <c r="F209" s="14" t="s">
        <v>133</v>
      </c>
      <c r="G209" s="12" t="s">
        <v>40</v>
      </c>
      <c r="H209" s="6"/>
      <c r="I209" s="12" t="s">
        <v>596</v>
      </c>
      <c r="J209" s="6"/>
      <c r="K209" s="6"/>
      <c r="L209" s="12" t="s">
        <v>732</v>
      </c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29">
        <f>6548*7</f>
        <v>45836</v>
      </c>
      <c r="AL209" s="18"/>
      <c r="AM209" s="5"/>
      <c r="AN209" s="5"/>
      <c r="AO209" s="7">
        <f t="shared" si="2"/>
        <v>0</v>
      </c>
    </row>
    <row r="210" spans="1:41" ht="39.950000000000003" customHeight="1" x14ac:dyDescent="0.25">
      <c r="A210" s="6"/>
      <c r="B210" s="6"/>
      <c r="C210" s="12" t="s">
        <v>101</v>
      </c>
      <c r="D210" s="12" t="s">
        <v>102</v>
      </c>
      <c r="E210" s="13">
        <v>109040309</v>
      </c>
      <c r="F210" s="14" t="s">
        <v>196</v>
      </c>
      <c r="G210" s="12" t="s">
        <v>40</v>
      </c>
      <c r="H210" s="6"/>
      <c r="I210" s="12" t="s">
        <v>637</v>
      </c>
      <c r="J210" s="6"/>
      <c r="K210" s="6"/>
      <c r="L210" s="12" t="s">
        <v>755</v>
      </c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29">
        <f>1982*7</f>
        <v>13874</v>
      </c>
      <c r="AL210" s="18"/>
      <c r="AM210" s="5"/>
      <c r="AN210" s="5"/>
      <c r="AO210" s="7">
        <f t="shared" si="2"/>
        <v>0</v>
      </c>
    </row>
    <row r="211" spans="1:41" ht="39.950000000000003" customHeight="1" x14ac:dyDescent="0.25">
      <c r="A211" s="6"/>
      <c r="B211" s="6"/>
      <c r="C211" s="12" t="s">
        <v>101</v>
      </c>
      <c r="D211" s="12" t="s">
        <v>102</v>
      </c>
      <c r="E211" s="13">
        <v>109050109</v>
      </c>
      <c r="F211" s="14" t="s">
        <v>178</v>
      </c>
      <c r="G211" s="12" t="s">
        <v>40</v>
      </c>
      <c r="H211" s="6"/>
      <c r="I211" s="12" t="s">
        <v>637</v>
      </c>
      <c r="J211" s="6"/>
      <c r="K211" s="6"/>
      <c r="L211" s="12" t="s">
        <v>737</v>
      </c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29">
        <f>5441*7</f>
        <v>38087</v>
      </c>
      <c r="AL211" s="18"/>
      <c r="AM211" s="5"/>
      <c r="AN211" s="5"/>
      <c r="AO211" s="7">
        <f t="shared" ref="AO211:AO274" si="3">(AM211*AN211+AM211)*AL211</f>
        <v>0</v>
      </c>
    </row>
    <row r="212" spans="1:41" ht="39.950000000000003" customHeight="1" x14ac:dyDescent="0.25">
      <c r="A212" s="6"/>
      <c r="B212" s="6"/>
      <c r="C212" s="12" t="s">
        <v>101</v>
      </c>
      <c r="D212" s="12" t="s">
        <v>103</v>
      </c>
      <c r="E212" s="13">
        <v>110000103</v>
      </c>
      <c r="F212" s="14" t="s">
        <v>47</v>
      </c>
      <c r="G212" s="12" t="s">
        <v>41</v>
      </c>
      <c r="H212" s="6"/>
      <c r="I212" s="12" t="s">
        <v>1072</v>
      </c>
      <c r="J212" s="6"/>
      <c r="K212" s="6"/>
      <c r="L212" s="12" t="s">
        <v>1112</v>
      </c>
      <c r="M212" s="6"/>
      <c r="N212" s="6"/>
      <c r="O212" s="6"/>
      <c r="P212" s="9"/>
      <c r="Q212" s="9"/>
      <c r="R212" s="9"/>
      <c r="S212" s="9"/>
      <c r="T212" s="9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29">
        <f>25*7</f>
        <v>175</v>
      </c>
      <c r="AL212" s="18"/>
      <c r="AM212" s="5"/>
      <c r="AN212" s="5"/>
      <c r="AO212" s="7">
        <f t="shared" si="3"/>
        <v>0</v>
      </c>
    </row>
    <row r="213" spans="1:41" ht="39.950000000000003" customHeight="1" x14ac:dyDescent="0.25">
      <c r="A213" s="6"/>
      <c r="B213" s="6"/>
      <c r="C213" s="12" t="s">
        <v>101</v>
      </c>
      <c r="D213" s="12" t="s">
        <v>103</v>
      </c>
      <c r="E213" s="13">
        <v>110000203</v>
      </c>
      <c r="F213" s="14" t="s">
        <v>48</v>
      </c>
      <c r="G213" s="12" t="s">
        <v>41</v>
      </c>
      <c r="H213" s="6"/>
      <c r="I213" s="12" t="s">
        <v>1072</v>
      </c>
      <c r="J213" s="6"/>
      <c r="K213" s="6"/>
      <c r="L213" s="12" t="s">
        <v>1113</v>
      </c>
      <c r="M213" s="6"/>
      <c r="N213" s="6"/>
      <c r="O213" s="6"/>
      <c r="P213" s="9"/>
      <c r="Q213" s="9"/>
      <c r="R213" s="9"/>
      <c r="S213" s="9"/>
      <c r="T213" s="9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29">
        <f>1360*7</f>
        <v>9520</v>
      </c>
      <c r="AL213" s="18"/>
      <c r="AM213" s="5"/>
      <c r="AN213" s="5"/>
      <c r="AO213" s="7">
        <f t="shared" si="3"/>
        <v>0</v>
      </c>
    </row>
    <row r="214" spans="1:41" ht="39.950000000000003" customHeight="1" x14ac:dyDescent="0.25">
      <c r="A214" s="6"/>
      <c r="B214" s="6"/>
      <c r="C214" s="12" t="s">
        <v>101</v>
      </c>
      <c r="D214" s="12" t="s">
        <v>102</v>
      </c>
      <c r="E214" s="13">
        <v>111010102</v>
      </c>
      <c r="F214" s="14" t="s">
        <v>465</v>
      </c>
      <c r="G214" s="12" t="s">
        <v>60</v>
      </c>
      <c r="H214" s="6"/>
      <c r="I214" s="12" t="s">
        <v>1114</v>
      </c>
      <c r="J214" s="6"/>
      <c r="K214" s="6"/>
      <c r="L214" s="12" t="s">
        <v>850</v>
      </c>
      <c r="M214" s="6"/>
      <c r="N214" s="6"/>
      <c r="O214" s="6"/>
      <c r="P214" s="9"/>
      <c r="Q214" s="9"/>
      <c r="R214" s="9"/>
      <c r="S214" s="9"/>
      <c r="T214" s="9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29">
        <f>1.17*7</f>
        <v>8.19</v>
      </c>
      <c r="AL214" s="18"/>
      <c r="AM214" s="5"/>
      <c r="AN214" s="5"/>
      <c r="AO214" s="7">
        <f t="shared" si="3"/>
        <v>0</v>
      </c>
    </row>
    <row r="215" spans="1:41" ht="39.950000000000003" customHeight="1" x14ac:dyDescent="0.25">
      <c r="A215" s="6"/>
      <c r="B215" s="6"/>
      <c r="C215" s="12" t="s">
        <v>101</v>
      </c>
      <c r="D215" s="12" t="s">
        <v>102</v>
      </c>
      <c r="E215" s="13">
        <v>111020102</v>
      </c>
      <c r="F215" s="14" t="s">
        <v>1115</v>
      </c>
      <c r="G215" s="12" t="s">
        <v>58</v>
      </c>
      <c r="H215" s="6"/>
      <c r="I215" s="12" t="s">
        <v>1116</v>
      </c>
      <c r="J215" s="6"/>
      <c r="K215" s="6"/>
      <c r="L215" s="12" t="s">
        <v>897</v>
      </c>
      <c r="M215" s="6"/>
      <c r="N215" s="6"/>
      <c r="O215" s="6"/>
      <c r="P215" s="9"/>
      <c r="Q215" s="9"/>
      <c r="R215" s="9"/>
      <c r="S215" s="9"/>
      <c r="T215" s="9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29">
        <f>149.85*7</f>
        <v>1048.95</v>
      </c>
      <c r="AL215" s="18"/>
      <c r="AM215" s="5"/>
      <c r="AN215" s="5"/>
      <c r="AO215" s="7">
        <f t="shared" si="3"/>
        <v>0</v>
      </c>
    </row>
    <row r="216" spans="1:41" ht="39.950000000000003" customHeight="1" x14ac:dyDescent="0.25">
      <c r="A216" s="6"/>
      <c r="B216" s="6"/>
      <c r="C216" s="12" t="s">
        <v>101</v>
      </c>
      <c r="D216" s="12" t="s">
        <v>102</v>
      </c>
      <c r="E216" s="13">
        <v>111020206</v>
      </c>
      <c r="F216" s="14" t="s">
        <v>195</v>
      </c>
      <c r="G216" s="12" t="s">
        <v>61</v>
      </c>
      <c r="H216" s="6"/>
      <c r="I216" s="12" t="s">
        <v>636</v>
      </c>
      <c r="J216" s="6"/>
      <c r="K216" s="6"/>
      <c r="L216" s="12" t="s">
        <v>745</v>
      </c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29">
        <f>22.75*7</f>
        <v>159.25</v>
      </c>
      <c r="AL216" s="18"/>
      <c r="AM216" s="5"/>
      <c r="AN216" s="5"/>
      <c r="AO216" s="7">
        <f t="shared" si="3"/>
        <v>0</v>
      </c>
    </row>
    <row r="217" spans="1:41" ht="39.950000000000003" customHeight="1" x14ac:dyDescent="0.25">
      <c r="A217" s="6"/>
      <c r="B217" s="6"/>
      <c r="C217" s="12" t="s">
        <v>101</v>
      </c>
      <c r="D217" s="12" t="s">
        <v>102</v>
      </c>
      <c r="E217" s="13">
        <v>111030102</v>
      </c>
      <c r="F217" s="14" t="s">
        <v>167</v>
      </c>
      <c r="G217" s="12" t="s">
        <v>58</v>
      </c>
      <c r="H217" s="6"/>
      <c r="I217" s="12" t="s">
        <v>620</v>
      </c>
      <c r="J217" s="6"/>
      <c r="K217" s="6"/>
      <c r="L217" s="12" t="s">
        <v>745</v>
      </c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29">
        <f>313.03*7</f>
        <v>2191.21</v>
      </c>
      <c r="AL217" s="18"/>
      <c r="AM217" s="5"/>
      <c r="AN217" s="5"/>
      <c r="AO217" s="7">
        <f t="shared" si="3"/>
        <v>0</v>
      </c>
    </row>
    <row r="218" spans="1:41" ht="39.950000000000003" customHeight="1" x14ac:dyDescent="0.25">
      <c r="A218" s="6"/>
      <c r="B218" s="6"/>
      <c r="C218" s="12" t="s">
        <v>101</v>
      </c>
      <c r="D218" s="12" t="s">
        <v>102</v>
      </c>
      <c r="E218" s="13">
        <v>111030202</v>
      </c>
      <c r="F218" s="14" t="s">
        <v>162</v>
      </c>
      <c r="G218" s="12" t="s">
        <v>60</v>
      </c>
      <c r="H218" s="6"/>
      <c r="I218" s="12" t="s">
        <v>620</v>
      </c>
      <c r="J218" s="6"/>
      <c r="K218" s="6"/>
      <c r="L218" s="12" t="s">
        <v>745</v>
      </c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29">
        <f>17*7</f>
        <v>119</v>
      </c>
      <c r="AL218" s="18"/>
      <c r="AM218" s="5"/>
      <c r="AN218" s="5"/>
      <c r="AO218" s="7">
        <f t="shared" si="3"/>
        <v>0</v>
      </c>
    </row>
    <row r="219" spans="1:41" ht="39.950000000000003" customHeight="1" x14ac:dyDescent="0.25">
      <c r="A219" s="6"/>
      <c r="B219" s="6"/>
      <c r="C219" s="12" t="s">
        <v>101</v>
      </c>
      <c r="D219" s="12" t="s">
        <v>102</v>
      </c>
      <c r="E219" s="13">
        <v>111040102</v>
      </c>
      <c r="F219" s="14" t="s">
        <v>445</v>
      </c>
      <c r="G219" s="12" t="s">
        <v>58</v>
      </c>
      <c r="H219" s="6"/>
      <c r="I219" s="12" t="s">
        <v>607</v>
      </c>
      <c r="J219" s="6"/>
      <c r="K219" s="6"/>
      <c r="L219" s="12" t="s">
        <v>850</v>
      </c>
      <c r="M219" s="6"/>
      <c r="N219" s="6"/>
      <c r="O219" s="6"/>
      <c r="P219" s="9"/>
      <c r="Q219" s="9"/>
      <c r="R219" s="9"/>
      <c r="S219" s="9"/>
      <c r="T219" s="9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29">
        <f>1*7</f>
        <v>7</v>
      </c>
      <c r="AL219" s="18"/>
      <c r="AM219" s="5"/>
      <c r="AN219" s="5"/>
      <c r="AO219" s="7">
        <f t="shared" si="3"/>
        <v>0</v>
      </c>
    </row>
    <row r="220" spans="1:41" ht="39.950000000000003" customHeight="1" x14ac:dyDescent="0.25">
      <c r="A220" s="6"/>
      <c r="B220" s="6"/>
      <c r="C220" s="12" t="s">
        <v>101</v>
      </c>
      <c r="D220" s="12" t="s">
        <v>102</v>
      </c>
      <c r="E220" s="13">
        <v>111050202</v>
      </c>
      <c r="F220" s="14" t="s">
        <v>49</v>
      </c>
      <c r="G220" s="12" t="s">
        <v>58</v>
      </c>
      <c r="H220" s="6"/>
      <c r="I220" s="12" t="s">
        <v>607</v>
      </c>
      <c r="J220" s="6"/>
      <c r="K220" s="6"/>
      <c r="L220" s="12" t="s">
        <v>898</v>
      </c>
      <c r="M220" s="6"/>
      <c r="N220" s="6"/>
      <c r="O220" s="6"/>
      <c r="P220" s="9"/>
      <c r="Q220" s="9"/>
      <c r="R220" s="9"/>
      <c r="S220" s="9"/>
      <c r="T220" s="9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29">
        <f>5.7*7</f>
        <v>39.9</v>
      </c>
      <c r="AL220" s="18"/>
      <c r="AM220" s="5"/>
      <c r="AN220" s="5"/>
      <c r="AO220" s="7">
        <f t="shared" si="3"/>
        <v>0</v>
      </c>
    </row>
    <row r="221" spans="1:41" ht="39.950000000000003" customHeight="1" x14ac:dyDescent="0.25">
      <c r="A221" s="6"/>
      <c r="B221" s="6"/>
      <c r="C221" s="12" t="s">
        <v>101</v>
      </c>
      <c r="D221" s="12" t="s">
        <v>102</v>
      </c>
      <c r="E221" s="13">
        <v>111050302</v>
      </c>
      <c r="F221" s="14" t="s">
        <v>1117</v>
      </c>
      <c r="G221" s="12" t="s">
        <v>60</v>
      </c>
      <c r="H221" s="6"/>
      <c r="I221" s="12" t="s">
        <v>619</v>
      </c>
      <c r="J221" s="6"/>
      <c r="K221" s="6"/>
      <c r="L221" s="12" t="s">
        <v>899</v>
      </c>
      <c r="M221" s="6"/>
      <c r="N221" s="6"/>
      <c r="O221" s="6"/>
      <c r="P221" s="9"/>
      <c r="Q221" s="9"/>
      <c r="R221" s="9"/>
      <c r="S221" s="9"/>
      <c r="T221" s="9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29">
        <f>36*7</f>
        <v>252</v>
      </c>
      <c r="AL221" s="18"/>
      <c r="AM221" s="5"/>
      <c r="AN221" s="5"/>
      <c r="AO221" s="7">
        <f t="shared" si="3"/>
        <v>0</v>
      </c>
    </row>
    <row r="222" spans="1:41" ht="39.950000000000003" customHeight="1" x14ac:dyDescent="0.25">
      <c r="A222" s="6"/>
      <c r="B222" s="6"/>
      <c r="C222" s="12" t="s">
        <v>101</v>
      </c>
      <c r="D222" s="12" t="s">
        <v>102</v>
      </c>
      <c r="E222" s="13">
        <v>111060102</v>
      </c>
      <c r="F222" s="14" t="s">
        <v>50</v>
      </c>
      <c r="G222" s="12" t="s">
        <v>58</v>
      </c>
      <c r="H222" s="6"/>
      <c r="I222" s="12" t="s">
        <v>620</v>
      </c>
      <c r="J222" s="6"/>
      <c r="K222" s="6"/>
      <c r="L222" s="12" t="s">
        <v>824</v>
      </c>
      <c r="M222" s="6"/>
      <c r="N222" s="6"/>
      <c r="O222" s="6"/>
      <c r="P222" s="9"/>
      <c r="Q222" s="9"/>
      <c r="R222" s="9"/>
      <c r="S222" s="9"/>
      <c r="T222" s="9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29">
        <f>468*7</f>
        <v>3276</v>
      </c>
      <c r="AL222" s="18"/>
      <c r="AM222" s="5"/>
      <c r="AN222" s="5"/>
      <c r="AO222" s="7">
        <f t="shared" si="3"/>
        <v>0</v>
      </c>
    </row>
    <row r="223" spans="1:41" ht="39.950000000000003" customHeight="1" x14ac:dyDescent="0.25">
      <c r="A223" s="6"/>
      <c r="B223" s="6"/>
      <c r="C223" s="12" t="s">
        <v>101</v>
      </c>
      <c r="D223" s="12" t="s">
        <v>102</v>
      </c>
      <c r="E223" s="13">
        <v>111070102</v>
      </c>
      <c r="F223" s="14" t="s">
        <v>158</v>
      </c>
      <c r="G223" s="12" t="s">
        <v>58</v>
      </c>
      <c r="H223" s="6"/>
      <c r="I223" s="12" t="s">
        <v>620</v>
      </c>
      <c r="J223" s="6"/>
      <c r="K223" s="6"/>
      <c r="L223" s="12" t="s">
        <v>728</v>
      </c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29">
        <f>390*7</f>
        <v>2730</v>
      </c>
      <c r="AL223" s="18"/>
      <c r="AM223" s="5"/>
      <c r="AN223" s="5"/>
      <c r="AO223" s="7">
        <f t="shared" si="3"/>
        <v>0</v>
      </c>
    </row>
    <row r="224" spans="1:41" ht="39.950000000000003" customHeight="1" x14ac:dyDescent="0.25">
      <c r="A224" s="6"/>
      <c r="B224" s="6"/>
      <c r="C224" s="12" t="s">
        <v>101</v>
      </c>
      <c r="D224" s="12" t="s">
        <v>102</v>
      </c>
      <c r="E224" s="13">
        <v>111080102</v>
      </c>
      <c r="F224" s="14" t="s">
        <v>163</v>
      </c>
      <c r="G224" s="12" t="s">
        <v>58</v>
      </c>
      <c r="H224" s="6"/>
      <c r="I224" s="12" t="s">
        <v>607</v>
      </c>
      <c r="J224" s="6"/>
      <c r="K224" s="6"/>
      <c r="L224" s="12" t="s">
        <v>745</v>
      </c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29">
        <f>202*7</f>
        <v>1414</v>
      </c>
      <c r="AL224" s="18"/>
      <c r="AM224" s="5"/>
      <c r="AN224" s="5"/>
      <c r="AO224" s="7">
        <f t="shared" si="3"/>
        <v>0</v>
      </c>
    </row>
    <row r="225" spans="1:41" ht="39.950000000000003" customHeight="1" x14ac:dyDescent="0.25">
      <c r="A225" s="6"/>
      <c r="B225" s="6"/>
      <c r="C225" s="12" t="s">
        <v>101</v>
      </c>
      <c r="D225" s="12" t="s">
        <v>102</v>
      </c>
      <c r="E225" s="13">
        <v>112010206</v>
      </c>
      <c r="F225" s="14" t="s">
        <v>51</v>
      </c>
      <c r="G225" s="12" t="s">
        <v>61</v>
      </c>
      <c r="H225" s="6"/>
      <c r="I225" s="12" t="s">
        <v>1118</v>
      </c>
      <c r="J225" s="6"/>
      <c r="K225" s="6"/>
      <c r="L225" s="12" t="s">
        <v>900</v>
      </c>
      <c r="M225" s="6"/>
      <c r="N225" s="6"/>
      <c r="O225" s="6"/>
      <c r="P225" s="9"/>
      <c r="Q225" s="9"/>
      <c r="R225" s="9"/>
      <c r="S225" s="9"/>
      <c r="T225" s="9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29">
        <f>1500*7</f>
        <v>10500</v>
      </c>
      <c r="AL225" s="18"/>
      <c r="AM225" s="5"/>
      <c r="AN225" s="5"/>
      <c r="AO225" s="7">
        <f t="shared" si="3"/>
        <v>0</v>
      </c>
    </row>
    <row r="226" spans="1:41" ht="39.950000000000003" customHeight="1" x14ac:dyDescent="0.25">
      <c r="A226" s="6"/>
      <c r="B226" s="6"/>
      <c r="C226" s="12" t="s">
        <v>101</v>
      </c>
      <c r="D226" s="12" t="s">
        <v>102</v>
      </c>
      <c r="E226" s="13">
        <v>112010306</v>
      </c>
      <c r="F226" s="14" t="s">
        <v>1120</v>
      </c>
      <c r="G226" s="12" t="s">
        <v>58</v>
      </c>
      <c r="H226" s="6"/>
      <c r="I226" s="12" t="s">
        <v>1119</v>
      </c>
      <c r="J226" s="6"/>
      <c r="K226" s="6"/>
      <c r="L226" s="12" t="s">
        <v>769</v>
      </c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29">
        <f>5.78*7</f>
        <v>40.46</v>
      </c>
      <c r="AL226" s="18"/>
      <c r="AM226" s="5"/>
      <c r="AN226" s="5"/>
      <c r="AO226" s="7">
        <f t="shared" si="3"/>
        <v>0</v>
      </c>
    </row>
    <row r="227" spans="1:41" ht="39.950000000000003" customHeight="1" x14ac:dyDescent="0.25">
      <c r="A227" s="6"/>
      <c r="B227" s="6"/>
      <c r="C227" s="12" t="s">
        <v>101</v>
      </c>
      <c r="D227" s="12" t="s">
        <v>102</v>
      </c>
      <c r="E227" s="13">
        <v>112020306</v>
      </c>
      <c r="F227" s="14" t="s">
        <v>170</v>
      </c>
      <c r="G227" s="12" t="s">
        <v>85</v>
      </c>
      <c r="H227" s="6"/>
      <c r="I227" s="12" t="s">
        <v>624</v>
      </c>
      <c r="J227" s="6"/>
      <c r="K227" s="6"/>
      <c r="L227" s="12" t="s">
        <v>749</v>
      </c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29">
        <f>20.33*7</f>
        <v>142.31</v>
      </c>
      <c r="AL227" s="18"/>
      <c r="AM227" s="5"/>
      <c r="AN227" s="5"/>
      <c r="AO227" s="7">
        <f t="shared" si="3"/>
        <v>0</v>
      </c>
    </row>
    <row r="228" spans="1:41" ht="39.950000000000003" customHeight="1" x14ac:dyDescent="0.25">
      <c r="A228" s="6"/>
      <c r="B228" s="6"/>
      <c r="C228" s="12" t="s">
        <v>101</v>
      </c>
      <c r="D228" s="12" t="s">
        <v>102</v>
      </c>
      <c r="E228" s="13">
        <v>112020307</v>
      </c>
      <c r="F228" s="14" t="s">
        <v>1015</v>
      </c>
      <c r="G228" s="12" t="s">
        <v>201</v>
      </c>
      <c r="H228" s="6"/>
      <c r="I228" s="12" t="s">
        <v>602</v>
      </c>
      <c r="J228" s="6"/>
      <c r="K228" s="6"/>
      <c r="L228" s="12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29">
        <f>4*7</f>
        <v>28</v>
      </c>
      <c r="AL228" s="18"/>
      <c r="AM228" s="5"/>
      <c r="AN228" s="5"/>
      <c r="AO228" s="7">
        <f t="shared" si="3"/>
        <v>0</v>
      </c>
    </row>
    <row r="229" spans="1:41" ht="39.950000000000003" customHeight="1" x14ac:dyDescent="0.25">
      <c r="A229" s="6"/>
      <c r="B229" s="6"/>
      <c r="C229" s="12" t="s">
        <v>101</v>
      </c>
      <c r="D229" s="12" t="s">
        <v>102</v>
      </c>
      <c r="E229" s="13">
        <v>112020406</v>
      </c>
      <c r="F229" s="14" t="s">
        <v>362</v>
      </c>
      <c r="G229" s="12" t="s">
        <v>61</v>
      </c>
      <c r="H229" s="6"/>
      <c r="I229" s="12" t="s">
        <v>1118</v>
      </c>
      <c r="J229" s="6"/>
      <c r="K229" s="6"/>
      <c r="L229" s="12" t="s">
        <v>826</v>
      </c>
      <c r="M229" s="6"/>
      <c r="N229" s="6"/>
      <c r="O229" s="6"/>
      <c r="P229" s="9"/>
      <c r="Q229" s="9"/>
      <c r="R229" s="9"/>
      <c r="S229" s="9"/>
      <c r="T229" s="9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29">
        <f>421.62*7</f>
        <v>2951.34</v>
      </c>
      <c r="AL229" s="18"/>
      <c r="AM229" s="5"/>
      <c r="AN229" s="5"/>
      <c r="AO229" s="7">
        <f t="shared" si="3"/>
        <v>0</v>
      </c>
    </row>
    <row r="230" spans="1:41" ht="39.950000000000003" customHeight="1" x14ac:dyDescent="0.25">
      <c r="A230" s="6"/>
      <c r="B230" s="6"/>
      <c r="C230" s="12" t="s">
        <v>101</v>
      </c>
      <c r="D230" s="12" t="s">
        <v>102</v>
      </c>
      <c r="E230" s="13">
        <v>112020460</v>
      </c>
      <c r="F230" s="14" t="s">
        <v>1016</v>
      </c>
      <c r="G230" s="12" t="s">
        <v>201</v>
      </c>
      <c r="H230" s="6"/>
      <c r="I230" s="12" t="s">
        <v>1121</v>
      </c>
      <c r="J230" s="6"/>
      <c r="K230" s="6"/>
      <c r="L230" s="12"/>
      <c r="M230" s="6"/>
      <c r="N230" s="6"/>
      <c r="O230" s="6"/>
      <c r="P230" s="9"/>
      <c r="Q230" s="9"/>
      <c r="R230" s="9"/>
      <c r="S230" s="9"/>
      <c r="T230" s="9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29">
        <f>2*7</f>
        <v>14</v>
      </c>
      <c r="AL230" s="18"/>
      <c r="AM230" s="5"/>
      <c r="AN230" s="5"/>
      <c r="AO230" s="7">
        <f t="shared" si="3"/>
        <v>0</v>
      </c>
    </row>
    <row r="231" spans="1:41" ht="39.950000000000003" customHeight="1" x14ac:dyDescent="0.25">
      <c r="A231" s="6"/>
      <c r="B231" s="6"/>
      <c r="C231" s="12" t="s">
        <v>101</v>
      </c>
      <c r="D231" s="12" t="s">
        <v>102</v>
      </c>
      <c r="E231" s="13">
        <v>112030106</v>
      </c>
      <c r="F231" s="14" t="s">
        <v>123</v>
      </c>
      <c r="G231" s="12" t="s">
        <v>61</v>
      </c>
      <c r="H231" s="6"/>
      <c r="I231" s="12" t="s">
        <v>602</v>
      </c>
      <c r="J231" s="6"/>
      <c r="K231" s="6"/>
      <c r="L231" s="12" t="s">
        <v>732</v>
      </c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29">
        <f>701.28*7</f>
        <v>4908.96</v>
      </c>
      <c r="AL231" s="18"/>
      <c r="AM231" s="5"/>
      <c r="AN231" s="5"/>
      <c r="AO231" s="7">
        <f t="shared" si="3"/>
        <v>0</v>
      </c>
    </row>
    <row r="232" spans="1:41" ht="39.950000000000003" customHeight="1" x14ac:dyDescent="0.25">
      <c r="A232" s="6"/>
      <c r="B232" s="6"/>
      <c r="C232" s="12" t="s">
        <v>101</v>
      </c>
      <c r="D232" s="12" t="s">
        <v>102</v>
      </c>
      <c r="E232" s="13">
        <v>112030206</v>
      </c>
      <c r="F232" s="14" t="s">
        <v>260</v>
      </c>
      <c r="G232" s="12" t="s">
        <v>61</v>
      </c>
      <c r="H232" s="6"/>
      <c r="I232" s="12" t="s">
        <v>602</v>
      </c>
      <c r="J232" s="6"/>
      <c r="K232" s="6"/>
      <c r="L232" s="12" t="s">
        <v>778</v>
      </c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29">
        <f>289.77*7</f>
        <v>2028.3899999999999</v>
      </c>
      <c r="AL232" s="18"/>
      <c r="AM232" s="5"/>
      <c r="AN232" s="5"/>
      <c r="AO232" s="7">
        <f t="shared" si="3"/>
        <v>0</v>
      </c>
    </row>
    <row r="233" spans="1:41" ht="39.950000000000003" customHeight="1" x14ac:dyDescent="0.25">
      <c r="A233" s="6"/>
      <c r="B233" s="6"/>
      <c r="C233" s="12" t="s">
        <v>101</v>
      </c>
      <c r="D233" s="12" t="s">
        <v>102</v>
      </c>
      <c r="E233" s="13">
        <v>112030306</v>
      </c>
      <c r="F233" s="14" t="s">
        <v>141</v>
      </c>
      <c r="G233" s="12" t="s">
        <v>58</v>
      </c>
      <c r="H233" s="6"/>
      <c r="I233" s="12" t="s">
        <v>610</v>
      </c>
      <c r="J233" s="6"/>
      <c r="K233" s="6"/>
      <c r="L233" s="12" t="s">
        <v>738</v>
      </c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29">
        <f>100.92*7</f>
        <v>706.44</v>
      </c>
      <c r="AL233" s="18"/>
      <c r="AM233" s="5"/>
      <c r="AN233" s="5"/>
      <c r="AO233" s="7">
        <f t="shared" si="3"/>
        <v>0</v>
      </c>
    </row>
    <row r="234" spans="1:41" ht="39.950000000000003" customHeight="1" x14ac:dyDescent="0.25">
      <c r="A234" s="6"/>
      <c r="B234" s="6"/>
      <c r="C234" s="12" t="s">
        <v>101</v>
      </c>
      <c r="D234" s="12" t="s">
        <v>102</v>
      </c>
      <c r="E234" s="13">
        <v>112030405</v>
      </c>
      <c r="F234" s="14" t="s">
        <v>52</v>
      </c>
      <c r="G234" s="12" t="s">
        <v>62</v>
      </c>
      <c r="H234" s="6"/>
      <c r="I234" s="12" t="s">
        <v>714</v>
      </c>
      <c r="J234" s="6"/>
      <c r="K234" s="6"/>
      <c r="L234" s="12" t="s">
        <v>901</v>
      </c>
      <c r="M234" s="6"/>
      <c r="N234" s="6"/>
      <c r="O234" s="6"/>
      <c r="P234" s="9"/>
      <c r="Q234" s="9"/>
      <c r="R234" s="9"/>
      <c r="S234" s="9"/>
      <c r="T234" s="9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29">
        <f>836*7</f>
        <v>5852</v>
      </c>
      <c r="AL234" s="18"/>
      <c r="AM234" s="5"/>
      <c r="AN234" s="5"/>
      <c r="AO234" s="7">
        <f t="shared" si="3"/>
        <v>0</v>
      </c>
    </row>
    <row r="235" spans="1:41" ht="39.950000000000003" customHeight="1" x14ac:dyDescent="0.25">
      <c r="A235" s="6"/>
      <c r="B235" s="6"/>
      <c r="C235" s="12" t="s">
        <v>101</v>
      </c>
      <c r="D235" s="12" t="s">
        <v>102</v>
      </c>
      <c r="E235" s="13">
        <v>112030730</v>
      </c>
      <c r="F235" s="14" t="s">
        <v>967</v>
      </c>
      <c r="G235" s="12" t="s">
        <v>201</v>
      </c>
      <c r="H235" s="6"/>
      <c r="I235" s="12" t="s">
        <v>1118</v>
      </c>
      <c r="J235" s="6"/>
      <c r="K235" s="6"/>
      <c r="L235" s="12"/>
      <c r="M235" s="6"/>
      <c r="N235" s="6"/>
      <c r="O235" s="6"/>
      <c r="P235" s="9"/>
      <c r="Q235" s="9"/>
      <c r="R235" s="9"/>
      <c r="S235" s="9"/>
      <c r="T235" s="9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29">
        <f>10.9*7</f>
        <v>76.3</v>
      </c>
      <c r="AL235" s="18"/>
      <c r="AM235" s="5"/>
      <c r="AN235" s="5"/>
      <c r="AO235" s="7">
        <f t="shared" si="3"/>
        <v>0</v>
      </c>
    </row>
    <row r="236" spans="1:41" ht="39.950000000000003" customHeight="1" x14ac:dyDescent="0.25">
      <c r="A236" s="6"/>
      <c r="B236" s="6"/>
      <c r="C236" s="12" t="s">
        <v>101</v>
      </c>
      <c r="D236" s="12" t="s">
        <v>102</v>
      </c>
      <c r="E236" s="13">
        <v>112040106</v>
      </c>
      <c r="F236" s="14" t="s">
        <v>240</v>
      </c>
      <c r="G236" s="12" t="s">
        <v>58</v>
      </c>
      <c r="H236" s="6"/>
      <c r="I236" s="12" t="s">
        <v>612</v>
      </c>
      <c r="J236" s="6"/>
      <c r="K236" s="6"/>
      <c r="L236" s="12" t="s">
        <v>728</v>
      </c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29">
        <f>165.32*7</f>
        <v>1157.24</v>
      </c>
      <c r="AL236" s="18"/>
      <c r="AM236" s="5"/>
      <c r="AN236" s="5"/>
      <c r="AO236" s="7">
        <f t="shared" si="3"/>
        <v>0</v>
      </c>
    </row>
    <row r="237" spans="1:41" ht="39.950000000000003" customHeight="1" x14ac:dyDescent="0.25">
      <c r="A237" s="6"/>
      <c r="B237" s="6"/>
      <c r="C237" s="12" t="s">
        <v>101</v>
      </c>
      <c r="D237" s="12" t="s">
        <v>102</v>
      </c>
      <c r="E237" s="13">
        <v>112040205</v>
      </c>
      <c r="F237" s="14" t="s">
        <v>179</v>
      </c>
      <c r="G237" s="12" t="s">
        <v>180</v>
      </c>
      <c r="H237" s="6"/>
      <c r="I237" s="12" t="s">
        <v>629</v>
      </c>
      <c r="J237" s="6"/>
      <c r="K237" s="6"/>
      <c r="L237" s="12" t="s">
        <v>726</v>
      </c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29">
        <f>3285*7</f>
        <v>22995</v>
      </c>
      <c r="AL237" s="18"/>
      <c r="AM237" s="5"/>
      <c r="AN237" s="5"/>
      <c r="AO237" s="7">
        <f t="shared" si="3"/>
        <v>0</v>
      </c>
    </row>
    <row r="238" spans="1:41" ht="39.950000000000003" customHeight="1" x14ac:dyDescent="0.25">
      <c r="A238" s="6"/>
      <c r="B238" s="6"/>
      <c r="C238" s="12" t="s">
        <v>101</v>
      </c>
      <c r="D238" s="12" t="s">
        <v>102</v>
      </c>
      <c r="E238" s="13">
        <v>112040506</v>
      </c>
      <c r="F238" s="14" t="s">
        <v>199</v>
      </c>
      <c r="G238" s="12" t="s">
        <v>58</v>
      </c>
      <c r="H238" s="6"/>
      <c r="I238" s="12" t="s">
        <v>618</v>
      </c>
      <c r="J238" s="6"/>
      <c r="K238" s="6"/>
      <c r="L238" s="12" t="s">
        <v>737</v>
      </c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29">
        <f>184*7</f>
        <v>1288</v>
      </c>
      <c r="AL238" s="18"/>
      <c r="AM238" s="5"/>
      <c r="AN238" s="5"/>
      <c r="AO238" s="7">
        <f t="shared" si="3"/>
        <v>0</v>
      </c>
    </row>
    <row r="239" spans="1:41" ht="39.950000000000003" customHeight="1" x14ac:dyDescent="0.25">
      <c r="A239" s="6"/>
      <c r="B239" s="6"/>
      <c r="C239" s="12" t="s">
        <v>101</v>
      </c>
      <c r="D239" s="12" t="s">
        <v>102</v>
      </c>
      <c r="E239" s="13">
        <v>112050206</v>
      </c>
      <c r="F239" s="14" t="s">
        <v>239</v>
      </c>
      <c r="G239" s="12" t="s">
        <v>61</v>
      </c>
      <c r="H239" s="6"/>
      <c r="I239" s="12" t="s">
        <v>1122</v>
      </c>
      <c r="J239" s="6"/>
      <c r="K239" s="6"/>
      <c r="L239" s="12" t="s">
        <v>768</v>
      </c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29">
        <f>626.35*7</f>
        <v>4384.45</v>
      </c>
      <c r="AL239" s="18"/>
      <c r="AM239" s="5"/>
      <c r="AN239" s="5"/>
      <c r="AO239" s="7">
        <f t="shared" si="3"/>
        <v>0</v>
      </c>
    </row>
    <row r="240" spans="1:41" ht="39.950000000000003" customHeight="1" x14ac:dyDescent="0.25">
      <c r="A240" s="6"/>
      <c r="B240" s="6"/>
      <c r="C240" s="12" t="s">
        <v>101</v>
      </c>
      <c r="D240" s="12" t="s">
        <v>102</v>
      </c>
      <c r="E240" s="13">
        <v>112050306</v>
      </c>
      <c r="F240" s="14" t="s">
        <v>463</v>
      </c>
      <c r="G240" s="12" t="s">
        <v>58</v>
      </c>
      <c r="H240" s="6"/>
      <c r="I240" s="12" t="s">
        <v>610</v>
      </c>
      <c r="J240" s="6"/>
      <c r="K240" s="6"/>
      <c r="L240" s="12" t="s">
        <v>860</v>
      </c>
      <c r="M240" s="6"/>
      <c r="N240" s="6"/>
      <c r="O240" s="6"/>
      <c r="P240" s="9"/>
      <c r="Q240" s="9"/>
      <c r="R240" s="9"/>
      <c r="S240" s="9"/>
      <c r="T240" s="9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29">
        <f>130.23*7</f>
        <v>911.6099999999999</v>
      </c>
      <c r="AL240" s="18"/>
      <c r="AM240" s="5"/>
      <c r="AN240" s="5"/>
      <c r="AO240" s="7">
        <f t="shared" si="3"/>
        <v>0</v>
      </c>
    </row>
    <row r="241" spans="1:93" ht="39.950000000000003" customHeight="1" x14ac:dyDescent="0.25">
      <c r="A241" s="6"/>
      <c r="B241" s="6"/>
      <c r="C241" s="12" t="s">
        <v>101</v>
      </c>
      <c r="D241" s="12" t="s">
        <v>102</v>
      </c>
      <c r="E241" s="13">
        <v>112050706</v>
      </c>
      <c r="F241" s="14" t="s">
        <v>968</v>
      </c>
      <c r="G241" s="12" t="s">
        <v>201</v>
      </c>
      <c r="H241" s="6"/>
      <c r="I241" s="12" t="s">
        <v>602</v>
      </c>
      <c r="J241" s="6"/>
      <c r="K241" s="6"/>
      <c r="L241" s="12" t="s">
        <v>728</v>
      </c>
      <c r="M241" s="6"/>
      <c r="N241" s="6"/>
      <c r="O241" s="6"/>
      <c r="P241" s="9"/>
      <c r="Q241" s="9"/>
      <c r="R241" s="9"/>
      <c r="S241" s="9"/>
      <c r="T241" s="9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29">
        <f>17.3*7</f>
        <v>121.10000000000001</v>
      </c>
      <c r="AL241" s="18"/>
      <c r="AM241" s="5"/>
      <c r="AN241" s="5"/>
      <c r="AO241" s="7">
        <f t="shared" si="3"/>
        <v>0</v>
      </c>
    </row>
    <row r="242" spans="1:93" ht="39.950000000000003" customHeight="1" x14ac:dyDescent="0.25">
      <c r="A242" s="6"/>
      <c r="B242" s="6"/>
      <c r="C242" s="12" t="s">
        <v>101</v>
      </c>
      <c r="D242" s="12" t="s">
        <v>102</v>
      </c>
      <c r="E242" s="13">
        <v>112050716</v>
      </c>
      <c r="F242" s="14" t="s">
        <v>164</v>
      </c>
      <c r="G242" s="12" t="s">
        <v>61</v>
      </c>
      <c r="H242" s="6"/>
      <c r="I242" s="12" t="s">
        <v>621</v>
      </c>
      <c r="J242" s="6"/>
      <c r="K242" s="6"/>
      <c r="L242" s="12" t="s">
        <v>732</v>
      </c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29">
        <f>848.2*7</f>
        <v>5937.4000000000005</v>
      </c>
      <c r="AL242" s="18"/>
      <c r="AM242" s="5"/>
      <c r="AN242" s="5"/>
      <c r="AO242" s="7">
        <f t="shared" si="3"/>
        <v>0</v>
      </c>
    </row>
    <row r="243" spans="1:93" ht="39.950000000000003" customHeight="1" x14ac:dyDescent="0.25">
      <c r="A243" s="6"/>
      <c r="B243" s="6"/>
      <c r="C243" s="12" t="s">
        <v>101</v>
      </c>
      <c r="D243" s="12" t="s">
        <v>102</v>
      </c>
      <c r="E243" s="13">
        <v>112070106</v>
      </c>
      <c r="F243" s="14" t="s">
        <v>200</v>
      </c>
      <c r="G243" s="12" t="s">
        <v>201</v>
      </c>
      <c r="H243" s="6"/>
      <c r="I243" s="12" t="s">
        <v>639</v>
      </c>
      <c r="J243" s="6"/>
      <c r="K243" s="6"/>
      <c r="L243" s="12" t="s">
        <v>756</v>
      </c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29">
        <f>118.98*7</f>
        <v>832.86</v>
      </c>
      <c r="AL243" s="18"/>
      <c r="AM243" s="5"/>
      <c r="AN243" s="5"/>
      <c r="AO243" s="7">
        <f t="shared" si="3"/>
        <v>0</v>
      </c>
    </row>
    <row r="244" spans="1:93" ht="39.950000000000003" customHeight="1" x14ac:dyDescent="0.25">
      <c r="A244" s="6"/>
      <c r="B244" s="6"/>
      <c r="C244" s="12" t="s">
        <v>101</v>
      </c>
      <c r="D244" s="12" t="s">
        <v>102</v>
      </c>
      <c r="E244" s="13">
        <v>112070160</v>
      </c>
      <c r="F244" s="14" t="s">
        <v>969</v>
      </c>
      <c r="G244" s="12" t="s">
        <v>60</v>
      </c>
      <c r="H244" s="6"/>
      <c r="I244" s="12" t="s">
        <v>618</v>
      </c>
      <c r="J244" s="6"/>
      <c r="K244" s="6"/>
      <c r="L244" s="12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29">
        <f>8.98*7</f>
        <v>62.86</v>
      </c>
      <c r="AL244" s="18"/>
      <c r="AM244" s="5"/>
      <c r="AN244" s="5"/>
      <c r="AO244" s="7">
        <f t="shared" si="3"/>
        <v>0</v>
      </c>
    </row>
    <row r="245" spans="1:93" ht="39.950000000000003" customHeight="1" x14ac:dyDescent="0.25">
      <c r="A245" s="6"/>
      <c r="B245" s="6"/>
      <c r="C245" s="12" t="s">
        <v>101</v>
      </c>
      <c r="D245" s="12" t="s">
        <v>102</v>
      </c>
      <c r="E245" s="13">
        <v>113010103</v>
      </c>
      <c r="F245" s="14" t="s">
        <v>1017</v>
      </c>
      <c r="G245" s="12" t="s">
        <v>41</v>
      </c>
      <c r="H245" s="6"/>
      <c r="I245" s="12" t="s">
        <v>640</v>
      </c>
      <c r="J245" s="6"/>
      <c r="K245" s="6"/>
      <c r="L245" s="12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29">
        <f>21.67*7</f>
        <v>151.69</v>
      </c>
      <c r="AL245" s="18"/>
      <c r="AM245" s="5"/>
      <c r="AN245" s="5"/>
      <c r="AO245" s="7">
        <f t="shared" si="3"/>
        <v>0</v>
      </c>
    </row>
    <row r="246" spans="1:93" ht="39.950000000000003" customHeight="1" x14ac:dyDescent="0.25">
      <c r="A246" s="6"/>
      <c r="B246" s="6"/>
      <c r="C246" s="12" t="s">
        <v>101</v>
      </c>
      <c r="D246" s="12" t="s">
        <v>102</v>
      </c>
      <c r="E246" s="13">
        <v>113010303</v>
      </c>
      <c r="F246" s="14" t="s">
        <v>246</v>
      </c>
      <c r="G246" s="12" t="s">
        <v>41</v>
      </c>
      <c r="H246" s="6"/>
      <c r="I246" s="12" t="s">
        <v>1072</v>
      </c>
      <c r="J246" s="6"/>
      <c r="K246" s="6"/>
      <c r="L246" s="12" t="s">
        <v>772</v>
      </c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29">
        <f>154.5*7</f>
        <v>1081.5</v>
      </c>
      <c r="AL246" s="18"/>
      <c r="AM246" s="5"/>
      <c r="AN246" s="5"/>
      <c r="AO246" s="7">
        <f t="shared" si="3"/>
        <v>0</v>
      </c>
    </row>
    <row r="247" spans="1:93" ht="39.950000000000003" customHeight="1" x14ac:dyDescent="0.25">
      <c r="A247" s="6"/>
      <c r="B247" s="6"/>
      <c r="C247" s="12" t="s">
        <v>101</v>
      </c>
      <c r="D247" s="12" t="s">
        <v>102</v>
      </c>
      <c r="E247" s="13">
        <v>113010304</v>
      </c>
      <c r="F247" s="14" t="s">
        <v>970</v>
      </c>
      <c r="G247" s="12" t="s">
        <v>41</v>
      </c>
      <c r="H247" s="6"/>
      <c r="I247" s="12" t="s">
        <v>1072</v>
      </c>
      <c r="J247" s="6"/>
      <c r="K247" s="6"/>
      <c r="L247" s="12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29">
        <f>26.33*7</f>
        <v>184.31</v>
      </c>
      <c r="AL247" s="18"/>
      <c r="AM247" s="5"/>
      <c r="AN247" s="5"/>
      <c r="AO247" s="7">
        <f t="shared" si="3"/>
        <v>0</v>
      </c>
    </row>
    <row r="248" spans="1:93" ht="39.950000000000003" customHeight="1" x14ac:dyDescent="0.25">
      <c r="A248" s="6"/>
      <c r="B248" s="6"/>
      <c r="C248" s="12" t="s">
        <v>101</v>
      </c>
      <c r="D248" s="12" t="s">
        <v>102</v>
      </c>
      <c r="E248" s="13">
        <v>113010704</v>
      </c>
      <c r="F248" s="14" t="s">
        <v>142</v>
      </c>
      <c r="G248" s="12" t="s">
        <v>58</v>
      </c>
      <c r="H248" s="6"/>
      <c r="I248" s="12" t="s">
        <v>612</v>
      </c>
      <c r="J248" s="6"/>
      <c r="K248" s="6"/>
      <c r="L248" s="12" t="s">
        <v>738</v>
      </c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29">
        <f>17.52*7</f>
        <v>122.64</v>
      </c>
      <c r="AL248" s="18"/>
      <c r="AM248" s="5"/>
      <c r="AN248" s="5"/>
      <c r="AO248" s="7">
        <f t="shared" si="3"/>
        <v>0</v>
      </c>
    </row>
    <row r="249" spans="1:93" ht="39.950000000000003" customHeight="1" x14ac:dyDescent="0.25">
      <c r="A249" s="6"/>
      <c r="B249" s="6"/>
      <c r="C249" s="12" t="s">
        <v>101</v>
      </c>
      <c r="D249" s="12" t="s">
        <v>102</v>
      </c>
      <c r="E249" s="13">
        <v>113010710</v>
      </c>
      <c r="F249" s="14" t="s">
        <v>154</v>
      </c>
      <c r="G249" s="12" t="s">
        <v>58</v>
      </c>
      <c r="H249" s="6"/>
      <c r="I249" s="12" t="s">
        <v>619</v>
      </c>
      <c r="J249" s="6"/>
      <c r="K249" s="6"/>
      <c r="L249" s="12" t="s">
        <v>744</v>
      </c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29">
        <f>3.33*7</f>
        <v>23.310000000000002</v>
      </c>
      <c r="AL249" s="18"/>
      <c r="AM249" s="5"/>
      <c r="AN249" s="5"/>
      <c r="AO249" s="7">
        <f t="shared" si="3"/>
        <v>0</v>
      </c>
    </row>
    <row r="250" spans="1:93" ht="39.950000000000003" customHeight="1" x14ac:dyDescent="0.25">
      <c r="A250" s="6"/>
      <c r="B250" s="6"/>
      <c r="C250" s="12" t="s">
        <v>101</v>
      </c>
      <c r="D250" s="12" t="s">
        <v>102</v>
      </c>
      <c r="E250" s="13">
        <v>113010809</v>
      </c>
      <c r="F250" s="14" t="s">
        <v>1018</v>
      </c>
      <c r="G250" s="12" t="s">
        <v>38</v>
      </c>
      <c r="H250" s="6"/>
      <c r="I250" s="12" t="s">
        <v>707</v>
      </c>
      <c r="J250" s="6"/>
      <c r="K250" s="6"/>
      <c r="L250" s="12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29">
        <f>15*7</f>
        <v>105</v>
      </c>
      <c r="AL250" s="18"/>
      <c r="AM250" s="5"/>
      <c r="AN250" s="5"/>
      <c r="AO250" s="7">
        <f t="shared" si="3"/>
        <v>0</v>
      </c>
    </row>
    <row r="251" spans="1:93" ht="39.950000000000003" customHeight="1" x14ac:dyDescent="0.25">
      <c r="A251" s="6"/>
      <c r="B251" s="6"/>
      <c r="C251" s="12" t="s">
        <v>101</v>
      </c>
      <c r="D251" s="12" t="s">
        <v>102</v>
      </c>
      <c r="E251" s="13">
        <v>113011009</v>
      </c>
      <c r="F251" s="14" t="s">
        <v>226</v>
      </c>
      <c r="G251" s="12" t="s">
        <v>38</v>
      </c>
      <c r="H251" s="6"/>
      <c r="I251" s="12" t="s">
        <v>647</v>
      </c>
      <c r="J251" s="6"/>
      <c r="K251" s="6"/>
      <c r="L251" s="12" t="s">
        <v>742</v>
      </c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29">
        <f>2900*7</f>
        <v>20300</v>
      </c>
      <c r="AL251" s="18"/>
      <c r="AM251" s="5"/>
      <c r="AN251" s="5"/>
      <c r="AO251" s="7">
        <f t="shared" si="3"/>
        <v>0</v>
      </c>
    </row>
    <row r="252" spans="1:93" ht="39.950000000000003" customHeight="1" x14ac:dyDescent="0.25">
      <c r="A252" s="6"/>
      <c r="B252" s="6"/>
      <c r="C252" s="12" t="s">
        <v>101</v>
      </c>
      <c r="D252" s="12" t="s">
        <v>102</v>
      </c>
      <c r="E252" s="13">
        <v>113011402</v>
      </c>
      <c r="F252" s="14" t="s">
        <v>216</v>
      </c>
      <c r="G252" s="12" t="s">
        <v>58</v>
      </c>
      <c r="H252" s="6"/>
      <c r="I252" s="12" t="s">
        <v>644</v>
      </c>
      <c r="J252" s="6"/>
      <c r="K252" s="6"/>
      <c r="L252" s="12" t="s">
        <v>758</v>
      </c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29">
        <f>30*7</f>
        <v>210</v>
      </c>
      <c r="AL252" s="18"/>
      <c r="AM252" s="5"/>
      <c r="AN252" s="5"/>
      <c r="AO252" s="7">
        <f t="shared" si="3"/>
        <v>0</v>
      </c>
    </row>
    <row r="253" spans="1:93" ht="39.950000000000003" customHeight="1" x14ac:dyDescent="0.25">
      <c r="A253" s="6"/>
      <c r="B253" s="6"/>
      <c r="C253" s="12" t="s">
        <v>101</v>
      </c>
      <c r="D253" s="12" t="s">
        <v>102</v>
      </c>
      <c r="E253" s="13">
        <v>113011701</v>
      </c>
      <c r="F253" s="14" t="s">
        <v>263</v>
      </c>
      <c r="G253" s="12" t="s">
        <v>58</v>
      </c>
      <c r="H253" s="6"/>
      <c r="I253" s="12" t="s">
        <v>632</v>
      </c>
      <c r="J253" s="6"/>
      <c r="K253" s="6"/>
      <c r="L253" s="12" t="s">
        <v>783</v>
      </c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29">
        <f>5466*7</f>
        <v>38262</v>
      </c>
      <c r="AL253" s="18"/>
      <c r="AM253" s="5"/>
      <c r="AN253" s="5"/>
      <c r="AO253" s="7">
        <f t="shared" si="3"/>
        <v>0</v>
      </c>
    </row>
    <row r="254" spans="1:93" s="5" customFormat="1" ht="39.950000000000003" customHeight="1" x14ac:dyDescent="0.25">
      <c r="A254" s="6"/>
      <c r="B254" s="6"/>
      <c r="C254" s="12" t="s">
        <v>101</v>
      </c>
      <c r="D254" s="12" t="s">
        <v>102</v>
      </c>
      <c r="E254" s="13">
        <v>113011801</v>
      </c>
      <c r="F254" s="14" t="s">
        <v>498</v>
      </c>
      <c r="G254" s="12" t="s">
        <v>58</v>
      </c>
      <c r="H254" s="6"/>
      <c r="I254" s="12" t="s">
        <v>632</v>
      </c>
      <c r="J254" s="6"/>
      <c r="K254" s="6"/>
      <c r="L254" s="12" t="s">
        <v>866</v>
      </c>
      <c r="M254" s="6"/>
      <c r="N254" s="6"/>
      <c r="O254" s="6"/>
      <c r="P254" s="9"/>
      <c r="Q254" s="9"/>
      <c r="R254" s="9"/>
      <c r="S254" s="9"/>
      <c r="T254" s="9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29">
        <f>8472*7</f>
        <v>59304</v>
      </c>
      <c r="AL254" s="18"/>
      <c r="AO254" s="7">
        <f t="shared" si="3"/>
        <v>0</v>
      </c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</row>
    <row r="255" spans="1:93" s="8" customFormat="1" ht="39.950000000000003" customHeight="1" x14ac:dyDescent="0.25">
      <c r="A255" s="6"/>
      <c r="B255" s="6"/>
      <c r="C255" s="12" t="s">
        <v>101</v>
      </c>
      <c r="D255" s="12" t="s">
        <v>102</v>
      </c>
      <c r="E255" s="13">
        <v>113020104</v>
      </c>
      <c r="F255" s="14" t="s">
        <v>171</v>
      </c>
      <c r="G255" s="12" t="s">
        <v>58</v>
      </c>
      <c r="H255" s="6"/>
      <c r="I255" s="12" t="s">
        <v>1123</v>
      </c>
      <c r="J255" s="6"/>
      <c r="K255" s="6"/>
      <c r="L255" s="12" t="s">
        <v>738</v>
      </c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29">
        <f>319.38*7</f>
        <v>2235.66</v>
      </c>
      <c r="AL255" s="18"/>
      <c r="AM255" s="5"/>
      <c r="AN255" s="5"/>
      <c r="AO255" s="7">
        <f t="shared" si="3"/>
        <v>0</v>
      </c>
    </row>
    <row r="256" spans="1:93" s="8" customFormat="1" ht="39.950000000000003" customHeight="1" x14ac:dyDescent="0.25">
      <c r="A256" s="6"/>
      <c r="B256" s="6"/>
      <c r="C256" s="12" t="s">
        <v>101</v>
      </c>
      <c r="D256" s="12" t="s">
        <v>102</v>
      </c>
      <c r="E256" s="13">
        <v>113020209</v>
      </c>
      <c r="F256" s="14" t="s">
        <v>53</v>
      </c>
      <c r="G256" s="12" t="s">
        <v>40</v>
      </c>
      <c r="H256" s="6"/>
      <c r="I256" s="12" t="s">
        <v>715</v>
      </c>
      <c r="J256" s="6"/>
      <c r="K256" s="6"/>
      <c r="L256" s="12" t="s">
        <v>893</v>
      </c>
      <c r="M256" s="6"/>
      <c r="N256" s="6"/>
      <c r="O256" s="6"/>
      <c r="P256" s="9"/>
      <c r="Q256" s="9"/>
      <c r="R256" s="9"/>
      <c r="S256" s="9"/>
      <c r="T256" s="9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29">
        <f>3284*7</f>
        <v>22988</v>
      </c>
      <c r="AL256" s="18"/>
      <c r="AM256" s="5"/>
      <c r="AN256" s="5"/>
      <c r="AO256" s="7">
        <f t="shared" si="3"/>
        <v>0</v>
      </c>
    </row>
    <row r="257" spans="1:41" s="8" customFormat="1" ht="39.950000000000003" customHeight="1" x14ac:dyDescent="0.25">
      <c r="A257" s="6"/>
      <c r="B257" s="6"/>
      <c r="C257" s="12" t="s">
        <v>101</v>
      </c>
      <c r="D257" s="12" t="s">
        <v>102</v>
      </c>
      <c r="E257" s="13">
        <v>113020301</v>
      </c>
      <c r="F257" s="14" t="s">
        <v>187</v>
      </c>
      <c r="G257" s="12" t="s">
        <v>58</v>
      </c>
      <c r="H257" s="6"/>
      <c r="I257" s="12" t="s">
        <v>632</v>
      </c>
      <c r="J257" s="6"/>
      <c r="K257" s="6"/>
      <c r="L257" s="12" t="s">
        <v>746</v>
      </c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29">
        <f>162*7</f>
        <v>1134</v>
      </c>
      <c r="AL257" s="18"/>
      <c r="AM257" s="5"/>
      <c r="AN257" s="5"/>
      <c r="AO257" s="7">
        <f t="shared" si="3"/>
        <v>0</v>
      </c>
    </row>
    <row r="258" spans="1:41" s="8" customFormat="1" ht="39.950000000000003" customHeight="1" x14ac:dyDescent="0.25">
      <c r="A258" s="6"/>
      <c r="B258" s="6"/>
      <c r="C258" s="12" t="s">
        <v>101</v>
      </c>
      <c r="D258" s="12" t="s">
        <v>102</v>
      </c>
      <c r="E258" s="13">
        <v>113020401</v>
      </c>
      <c r="F258" s="14" t="s">
        <v>500</v>
      </c>
      <c r="G258" s="12" t="s">
        <v>58</v>
      </c>
      <c r="H258" s="6"/>
      <c r="I258" s="12" t="s">
        <v>632</v>
      </c>
      <c r="J258" s="6"/>
      <c r="K258" s="6"/>
      <c r="L258" s="12" t="s">
        <v>868</v>
      </c>
      <c r="M258" s="6"/>
      <c r="N258" s="6"/>
      <c r="O258" s="6"/>
      <c r="P258" s="9"/>
      <c r="Q258" s="9"/>
      <c r="R258" s="9"/>
      <c r="S258" s="9"/>
      <c r="T258" s="9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29">
        <f>702.78*7</f>
        <v>4919.46</v>
      </c>
      <c r="AL258" s="18"/>
      <c r="AM258" s="5"/>
      <c r="AN258" s="5"/>
      <c r="AO258" s="7">
        <f t="shared" si="3"/>
        <v>0</v>
      </c>
    </row>
    <row r="259" spans="1:41" s="8" customFormat="1" ht="39.950000000000003" customHeight="1" x14ac:dyDescent="0.25">
      <c r="A259" s="6"/>
      <c r="B259" s="6"/>
      <c r="C259" s="12" t="s">
        <v>101</v>
      </c>
      <c r="D259" s="12" t="s">
        <v>102</v>
      </c>
      <c r="E259" s="13">
        <v>113020501</v>
      </c>
      <c r="F259" s="14" t="s">
        <v>244</v>
      </c>
      <c r="G259" s="12" t="s">
        <v>58</v>
      </c>
      <c r="H259" s="6"/>
      <c r="I259" s="12" t="s">
        <v>632</v>
      </c>
      <c r="J259" s="6"/>
      <c r="K259" s="6"/>
      <c r="L259" s="12" t="s">
        <v>771</v>
      </c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29">
        <f>474.23*7</f>
        <v>3319.61</v>
      </c>
      <c r="AL259" s="18"/>
      <c r="AM259" s="5"/>
      <c r="AN259" s="5"/>
      <c r="AO259" s="7">
        <f t="shared" si="3"/>
        <v>0</v>
      </c>
    </row>
    <row r="260" spans="1:41" s="8" customFormat="1" ht="39.950000000000003" customHeight="1" x14ac:dyDescent="0.25">
      <c r="A260" s="6"/>
      <c r="B260" s="6"/>
      <c r="C260" s="12" t="s">
        <v>101</v>
      </c>
      <c r="D260" s="12" t="s">
        <v>102</v>
      </c>
      <c r="E260" s="13">
        <v>113030204</v>
      </c>
      <c r="F260" s="14" t="s">
        <v>182</v>
      </c>
      <c r="G260" s="12" t="s">
        <v>58</v>
      </c>
      <c r="H260" s="6"/>
      <c r="I260" s="12" t="s">
        <v>612</v>
      </c>
      <c r="J260" s="6"/>
      <c r="K260" s="6"/>
      <c r="L260" s="12" t="s">
        <v>736</v>
      </c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29">
        <f>444.48*7</f>
        <v>3111.36</v>
      </c>
      <c r="AL260" s="18"/>
      <c r="AM260" s="5"/>
      <c r="AN260" s="5"/>
      <c r="AO260" s="7">
        <f t="shared" si="3"/>
        <v>0</v>
      </c>
    </row>
    <row r="261" spans="1:41" s="8" customFormat="1" ht="39.950000000000003" customHeight="1" x14ac:dyDescent="0.25">
      <c r="A261" s="6"/>
      <c r="B261" s="6"/>
      <c r="C261" s="12" t="s">
        <v>101</v>
      </c>
      <c r="D261" s="12" t="s">
        <v>102</v>
      </c>
      <c r="E261" s="13">
        <v>113040603</v>
      </c>
      <c r="F261" s="14" t="s">
        <v>281</v>
      </c>
      <c r="G261" s="12" t="s">
        <v>41</v>
      </c>
      <c r="H261" s="6"/>
      <c r="I261" s="12" t="s">
        <v>603</v>
      </c>
      <c r="J261" s="6"/>
      <c r="K261" s="6"/>
      <c r="L261" s="12" t="s">
        <v>795</v>
      </c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29">
        <f>190.83*7</f>
        <v>1335.8100000000002</v>
      </c>
      <c r="AL261" s="18"/>
      <c r="AM261" s="5"/>
      <c r="AN261" s="5"/>
      <c r="AO261" s="7">
        <f t="shared" si="3"/>
        <v>0</v>
      </c>
    </row>
    <row r="262" spans="1:41" s="8" customFormat="1" ht="39.950000000000003" customHeight="1" x14ac:dyDescent="0.25">
      <c r="A262" s="6"/>
      <c r="B262" s="6"/>
      <c r="C262" s="12" t="s">
        <v>101</v>
      </c>
      <c r="D262" s="12" t="s">
        <v>103</v>
      </c>
      <c r="E262" s="13">
        <v>114010203</v>
      </c>
      <c r="F262" s="14" t="s">
        <v>54</v>
      </c>
      <c r="G262" s="12" t="s">
        <v>63</v>
      </c>
      <c r="H262" s="6"/>
      <c r="I262" s="12" t="s">
        <v>640</v>
      </c>
      <c r="J262" s="6"/>
      <c r="K262" s="6"/>
      <c r="L262" s="12" t="s">
        <v>902</v>
      </c>
      <c r="M262" s="6"/>
      <c r="N262" s="6"/>
      <c r="O262" s="6"/>
      <c r="P262" s="9"/>
      <c r="Q262" s="9"/>
      <c r="R262" s="9"/>
      <c r="S262" s="9"/>
      <c r="T262" s="9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29">
        <f>117*7</f>
        <v>819</v>
      </c>
      <c r="AL262" s="18"/>
      <c r="AM262" s="5"/>
      <c r="AN262" s="5"/>
      <c r="AO262" s="7">
        <f t="shared" si="3"/>
        <v>0</v>
      </c>
    </row>
    <row r="263" spans="1:41" s="8" customFormat="1" ht="39.950000000000003" customHeight="1" x14ac:dyDescent="0.25">
      <c r="A263" s="6"/>
      <c r="B263" s="6"/>
      <c r="C263" s="12" t="s">
        <v>101</v>
      </c>
      <c r="D263" s="12" t="s">
        <v>102</v>
      </c>
      <c r="E263" s="13">
        <v>114010502</v>
      </c>
      <c r="F263" s="14" t="s">
        <v>258</v>
      </c>
      <c r="G263" s="12" t="s">
        <v>58</v>
      </c>
      <c r="H263" s="6"/>
      <c r="I263" s="12" t="s">
        <v>619</v>
      </c>
      <c r="J263" s="6"/>
      <c r="K263" s="6"/>
      <c r="L263" s="12" t="s">
        <v>727</v>
      </c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29">
        <f>2052*7</f>
        <v>14364</v>
      </c>
      <c r="AL263" s="18"/>
      <c r="AM263" s="5"/>
      <c r="AN263" s="5"/>
      <c r="AO263" s="7">
        <f t="shared" si="3"/>
        <v>0</v>
      </c>
    </row>
    <row r="264" spans="1:41" s="8" customFormat="1" ht="39.950000000000003" customHeight="1" x14ac:dyDescent="0.25">
      <c r="A264" s="6"/>
      <c r="B264" s="6"/>
      <c r="C264" s="12" t="s">
        <v>101</v>
      </c>
      <c r="D264" s="12" t="s">
        <v>102</v>
      </c>
      <c r="E264" s="13">
        <v>114010703</v>
      </c>
      <c r="F264" s="14" t="s">
        <v>356</v>
      </c>
      <c r="G264" s="12" t="s">
        <v>41</v>
      </c>
      <c r="H264" s="6"/>
      <c r="I264" s="12" t="s">
        <v>615</v>
      </c>
      <c r="J264" s="6"/>
      <c r="K264" s="6"/>
      <c r="L264" s="12" t="s">
        <v>824</v>
      </c>
      <c r="M264" s="6"/>
      <c r="N264" s="6"/>
      <c r="O264" s="6"/>
      <c r="P264" s="9"/>
      <c r="Q264" s="9"/>
      <c r="R264" s="9"/>
      <c r="S264" s="9"/>
      <c r="T264" s="9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29">
        <f>1344.58*7</f>
        <v>9412.06</v>
      </c>
      <c r="AL264" s="18"/>
      <c r="AM264" s="5"/>
      <c r="AN264" s="5"/>
      <c r="AO264" s="7">
        <f t="shared" si="3"/>
        <v>0</v>
      </c>
    </row>
    <row r="265" spans="1:41" s="8" customFormat="1" ht="39.950000000000003" customHeight="1" x14ac:dyDescent="0.25">
      <c r="A265" s="6"/>
      <c r="B265" s="6"/>
      <c r="C265" s="12" t="s">
        <v>101</v>
      </c>
      <c r="D265" s="12" t="s">
        <v>102</v>
      </c>
      <c r="E265" s="13">
        <v>114010803</v>
      </c>
      <c r="F265" s="14" t="s">
        <v>340</v>
      </c>
      <c r="G265" s="12" t="s">
        <v>41</v>
      </c>
      <c r="H265" s="6"/>
      <c r="I265" s="12" t="s">
        <v>615</v>
      </c>
      <c r="J265" s="6"/>
      <c r="K265" s="6"/>
      <c r="L265" s="12" t="s">
        <v>816</v>
      </c>
      <c r="M265" s="6"/>
      <c r="N265" s="6"/>
      <c r="O265" s="6"/>
      <c r="P265" s="9"/>
      <c r="Q265" s="9"/>
      <c r="R265" s="9"/>
      <c r="S265" s="9"/>
      <c r="T265" s="9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29">
        <f>4917.3*7</f>
        <v>34421.1</v>
      </c>
      <c r="AL265" s="18"/>
      <c r="AM265" s="5"/>
      <c r="AN265" s="5"/>
      <c r="AO265" s="7">
        <f t="shared" si="3"/>
        <v>0</v>
      </c>
    </row>
    <row r="266" spans="1:41" s="8" customFormat="1" ht="39.950000000000003" customHeight="1" x14ac:dyDescent="0.25">
      <c r="A266" s="6"/>
      <c r="B266" s="6"/>
      <c r="C266" s="12" t="s">
        <v>101</v>
      </c>
      <c r="D266" s="12" t="s">
        <v>102</v>
      </c>
      <c r="E266" s="13">
        <v>114011108</v>
      </c>
      <c r="F266" s="14" t="s">
        <v>971</v>
      </c>
      <c r="G266" s="12" t="s">
        <v>40</v>
      </c>
      <c r="H266" s="6"/>
      <c r="I266" s="12"/>
      <c r="J266" s="6"/>
      <c r="K266" s="6"/>
      <c r="L266" s="12"/>
      <c r="M266" s="6"/>
      <c r="N266" s="6"/>
      <c r="O266" s="6"/>
      <c r="P266" s="9"/>
      <c r="Q266" s="9"/>
      <c r="R266" s="9"/>
      <c r="S266" s="9"/>
      <c r="T266" s="9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29">
        <f>540*7</f>
        <v>3780</v>
      </c>
      <c r="AL266" s="18"/>
      <c r="AM266" s="5"/>
      <c r="AN266" s="5"/>
      <c r="AO266" s="7">
        <f t="shared" si="3"/>
        <v>0</v>
      </c>
    </row>
    <row r="267" spans="1:41" s="8" customFormat="1" ht="39.950000000000003" customHeight="1" x14ac:dyDescent="0.25">
      <c r="A267" s="6"/>
      <c r="B267" s="6"/>
      <c r="C267" s="12" t="s">
        <v>101</v>
      </c>
      <c r="D267" s="12" t="s">
        <v>102</v>
      </c>
      <c r="E267" s="13">
        <v>114011109</v>
      </c>
      <c r="F267" s="14" t="s">
        <v>972</v>
      </c>
      <c r="G267" s="12" t="s">
        <v>40</v>
      </c>
      <c r="H267" s="6"/>
      <c r="I267" s="12"/>
      <c r="J267" s="6"/>
      <c r="K267" s="6"/>
      <c r="L267" s="12"/>
      <c r="M267" s="6"/>
      <c r="N267" s="6"/>
      <c r="O267" s="6"/>
      <c r="P267" s="9"/>
      <c r="Q267" s="9"/>
      <c r="R267" s="9"/>
      <c r="S267" s="9"/>
      <c r="T267" s="9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29">
        <f>315*7</f>
        <v>2205</v>
      </c>
      <c r="AL267" s="18"/>
      <c r="AM267" s="5"/>
      <c r="AN267" s="5"/>
      <c r="AO267" s="7">
        <f t="shared" si="3"/>
        <v>0</v>
      </c>
    </row>
    <row r="268" spans="1:41" s="8" customFormat="1" ht="39.950000000000003" customHeight="1" x14ac:dyDescent="0.25">
      <c r="A268" s="6"/>
      <c r="B268" s="6"/>
      <c r="C268" s="12" t="s">
        <v>101</v>
      </c>
      <c r="D268" s="12" t="s">
        <v>102</v>
      </c>
      <c r="E268" s="13">
        <v>114011111</v>
      </c>
      <c r="F268" s="14" t="s">
        <v>973</v>
      </c>
      <c r="G268" s="12" t="s">
        <v>40</v>
      </c>
      <c r="H268" s="6"/>
      <c r="I268" s="12"/>
      <c r="J268" s="6"/>
      <c r="K268" s="6"/>
      <c r="L268" s="12"/>
      <c r="M268" s="6"/>
      <c r="N268" s="6"/>
      <c r="O268" s="6"/>
      <c r="P268" s="9"/>
      <c r="Q268" s="9"/>
      <c r="R268" s="9"/>
      <c r="S268" s="9"/>
      <c r="T268" s="9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29">
        <f>90*7</f>
        <v>630</v>
      </c>
      <c r="AL268" s="18"/>
      <c r="AM268" s="5"/>
      <c r="AN268" s="5"/>
      <c r="AO268" s="7">
        <f t="shared" si="3"/>
        <v>0</v>
      </c>
    </row>
    <row r="269" spans="1:41" s="8" customFormat="1" ht="39.950000000000003" customHeight="1" x14ac:dyDescent="0.25">
      <c r="A269" s="6"/>
      <c r="B269" s="6"/>
      <c r="C269" s="12" t="s">
        <v>101</v>
      </c>
      <c r="D269" s="12" t="s">
        <v>103</v>
      </c>
      <c r="E269" s="13">
        <v>114011603</v>
      </c>
      <c r="F269" s="14" t="s">
        <v>55</v>
      </c>
      <c r="G269" s="12" t="s">
        <v>63</v>
      </c>
      <c r="H269" s="6"/>
      <c r="I269" s="12" t="s">
        <v>706</v>
      </c>
      <c r="J269" s="6"/>
      <c r="K269" s="6"/>
      <c r="L269" s="12" t="s">
        <v>903</v>
      </c>
      <c r="M269" s="6"/>
      <c r="N269" s="6"/>
      <c r="O269" s="6"/>
      <c r="P269" s="9"/>
      <c r="Q269" s="9"/>
      <c r="R269" s="9"/>
      <c r="S269" s="9"/>
      <c r="T269" s="9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29">
        <f>20*7</f>
        <v>140</v>
      </c>
      <c r="AL269" s="18"/>
      <c r="AM269" s="5"/>
      <c r="AN269" s="5"/>
      <c r="AO269" s="7">
        <f t="shared" si="3"/>
        <v>0</v>
      </c>
    </row>
    <row r="270" spans="1:41" s="8" customFormat="1" ht="39.950000000000003" customHeight="1" x14ac:dyDescent="0.25">
      <c r="A270" s="6"/>
      <c r="B270" s="6"/>
      <c r="C270" s="12" t="s">
        <v>101</v>
      </c>
      <c r="D270" s="12" t="s">
        <v>102</v>
      </c>
      <c r="E270" s="13">
        <v>114011806</v>
      </c>
      <c r="F270" s="14" t="s">
        <v>974</v>
      </c>
      <c r="G270" s="12" t="s">
        <v>997</v>
      </c>
      <c r="H270" s="6"/>
      <c r="I270" s="12"/>
      <c r="J270" s="6"/>
      <c r="K270" s="6"/>
      <c r="L270" s="12"/>
      <c r="M270" s="6"/>
      <c r="N270" s="6"/>
      <c r="O270" s="6"/>
      <c r="P270" s="9"/>
      <c r="Q270" s="9"/>
      <c r="R270" s="9"/>
      <c r="S270" s="9"/>
      <c r="T270" s="9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29">
        <f>32.92*7</f>
        <v>230.44</v>
      </c>
      <c r="AL270" s="18"/>
      <c r="AM270" s="5"/>
      <c r="AN270" s="5"/>
      <c r="AO270" s="7">
        <f t="shared" si="3"/>
        <v>0</v>
      </c>
    </row>
    <row r="271" spans="1:41" s="8" customFormat="1" ht="39.950000000000003" customHeight="1" x14ac:dyDescent="0.25">
      <c r="A271" s="6"/>
      <c r="B271" s="6"/>
      <c r="C271" s="12" t="s">
        <v>101</v>
      </c>
      <c r="D271" s="12" t="s">
        <v>102</v>
      </c>
      <c r="E271" s="13">
        <v>114012109</v>
      </c>
      <c r="F271" s="14" t="s">
        <v>188</v>
      </c>
      <c r="G271" s="12" t="s">
        <v>40</v>
      </c>
      <c r="H271" s="6"/>
      <c r="I271" s="12" t="s">
        <v>633</v>
      </c>
      <c r="J271" s="6"/>
      <c r="K271" s="6"/>
      <c r="L271" s="12" t="s">
        <v>747</v>
      </c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29">
        <f>13259*7</f>
        <v>92813</v>
      </c>
      <c r="AL271" s="18"/>
      <c r="AM271" s="5"/>
      <c r="AN271" s="5"/>
      <c r="AO271" s="7">
        <f t="shared" si="3"/>
        <v>0</v>
      </c>
    </row>
    <row r="272" spans="1:41" s="8" customFormat="1" ht="39.950000000000003" customHeight="1" x14ac:dyDescent="0.25">
      <c r="A272" s="6"/>
      <c r="B272" s="6"/>
      <c r="C272" s="12" t="s">
        <v>101</v>
      </c>
      <c r="D272" s="12" t="s">
        <v>102</v>
      </c>
      <c r="E272" s="13">
        <v>114020104</v>
      </c>
      <c r="F272" s="14" t="s">
        <v>264</v>
      </c>
      <c r="G272" s="12" t="s">
        <v>58</v>
      </c>
      <c r="H272" s="6"/>
      <c r="I272" s="12" t="s">
        <v>618</v>
      </c>
      <c r="J272" s="6"/>
      <c r="K272" s="6"/>
      <c r="L272" s="12" t="s">
        <v>768</v>
      </c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29">
        <f>2542*7</f>
        <v>17794</v>
      </c>
      <c r="AL272" s="18"/>
      <c r="AM272" s="5"/>
      <c r="AN272" s="5"/>
      <c r="AO272" s="7">
        <f t="shared" si="3"/>
        <v>0</v>
      </c>
    </row>
    <row r="273" spans="1:41" s="8" customFormat="1" ht="39.950000000000003" customHeight="1" x14ac:dyDescent="0.25">
      <c r="A273" s="6"/>
      <c r="B273" s="6"/>
      <c r="C273" s="12" t="s">
        <v>101</v>
      </c>
      <c r="D273" s="12" t="s">
        <v>102</v>
      </c>
      <c r="E273" s="13">
        <v>114020202</v>
      </c>
      <c r="F273" s="14" t="s">
        <v>136</v>
      </c>
      <c r="G273" s="12" t="s">
        <v>60</v>
      </c>
      <c r="H273" s="6"/>
      <c r="I273" s="12" t="s">
        <v>610</v>
      </c>
      <c r="J273" s="6"/>
      <c r="K273" s="6"/>
      <c r="L273" s="12" t="s">
        <v>738</v>
      </c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29">
        <f>10.2*7</f>
        <v>71.399999999999991</v>
      </c>
      <c r="AL273" s="18"/>
      <c r="AM273" s="5"/>
      <c r="AN273" s="5"/>
      <c r="AO273" s="7">
        <f t="shared" si="3"/>
        <v>0</v>
      </c>
    </row>
    <row r="274" spans="1:41" s="8" customFormat="1" ht="39.950000000000003" customHeight="1" x14ac:dyDescent="0.25">
      <c r="A274" s="6"/>
      <c r="B274" s="6"/>
      <c r="C274" s="12" t="s">
        <v>101</v>
      </c>
      <c r="D274" s="12" t="s">
        <v>102</v>
      </c>
      <c r="E274" s="13">
        <v>114020309</v>
      </c>
      <c r="F274" s="14" t="s">
        <v>143</v>
      </c>
      <c r="G274" s="12" t="s">
        <v>40</v>
      </c>
      <c r="H274" s="6"/>
      <c r="I274" s="12" t="s">
        <v>596</v>
      </c>
      <c r="J274" s="6"/>
      <c r="K274" s="6"/>
      <c r="L274" s="12" t="s">
        <v>732</v>
      </c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29">
        <f>732886*7</f>
        <v>5130202</v>
      </c>
      <c r="AL274" s="18"/>
      <c r="AM274" s="5"/>
      <c r="AN274" s="5"/>
      <c r="AO274" s="7">
        <f t="shared" si="3"/>
        <v>0</v>
      </c>
    </row>
    <row r="275" spans="1:41" s="8" customFormat="1" ht="39.950000000000003" customHeight="1" x14ac:dyDescent="0.25">
      <c r="A275" s="6"/>
      <c r="B275" s="6"/>
      <c r="C275" s="12" t="s">
        <v>101</v>
      </c>
      <c r="D275" s="12" t="s">
        <v>102</v>
      </c>
      <c r="E275" s="13">
        <v>114020409</v>
      </c>
      <c r="F275" s="14" t="s">
        <v>350</v>
      </c>
      <c r="G275" s="12" t="s">
        <v>40</v>
      </c>
      <c r="H275" s="6"/>
      <c r="I275" s="12" t="s">
        <v>598</v>
      </c>
      <c r="J275" s="6"/>
      <c r="K275" s="6"/>
      <c r="L275" s="12" t="s">
        <v>821</v>
      </c>
      <c r="M275" s="6"/>
      <c r="N275" s="6"/>
      <c r="O275" s="6"/>
      <c r="P275" s="9"/>
      <c r="Q275" s="9"/>
      <c r="R275" s="9"/>
      <c r="S275" s="9"/>
      <c r="T275" s="9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29">
        <f>417405*7</f>
        <v>2921835</v>
      </c>
      <c r="AL275" s="18"/>
      <c r="AM275" s="5"/>
      <c r="AN275" s="5"/>
      <c r="AO275" s="7">
        <f t="shared" ref="AO275:AO338" si="4">(AM275*AN275+AM275)*AL275</f>
        <v>0</v>
      </c>
    </row>
    <row r="276" spans="1:41" s="8" customFormat="1" ht="39.950000000000003" customHeight="1" x14ac:dyDescent="0.25">
      <c r="A276" s="6"/>
      <c r="B276" s="6"/>
      <c r="C276" s="12" t="s">
        <v>101</v>
      </c>
      <c r="D276" s="12" t="s">
        <v>102</v>
      </c>
      <c r="E276" s="13">
        <v>114020703</v>
      </c>
      <c r="F276" s="14" t="s">
        <v>56</v>
      </c>
      <c r="G276" s="12" t="s">
        <v>41</v>
      </c>
      <c r="H276" s="6"/>
      <c r="I276" s="12" t="s">
        <v>615</v>
      </c>
      <c r="J276" s="6"/>
      <c r="K276" s="6"/>
      <c r="L276" s="12" t="s">
        <v>904</v>
      </c>
      <c r="M276" s="6"/>
      <c r="N276" s="6"/>
      <c r="O276" s="6"/>
      <c r="P276" s="9"/>
      <c r="Q276" s="9"/>
      <c r="R276" s="9"/>
      <c r="S276" s="9"/>
      <c r="T276" s="9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29">
        <f>12540*7</f>
        <v>87780</v>
      </c>
      <c r="AL276" s="18"/>
      <c r="AM276" s="5"/>
      <c r="AN276" s="5"/>
      <c r="AO276" s="7">
        <f t="shared" si="4"/>
        <v>0</v>
      </c>
    </row>
    <row r="277" spans="1:41" s="8" customFormat="1" ht="39.950000000000003" customHeight="1" x14ac:dyDescent="0.25">
      <c r="A277" s="6"/>
      <c r="B277" s="6"/>
      <c r="C277" s="12" t="s">
        <v>101</v>
      </c>
      <c r="D277" s="12" t="s">
        <v>103</v>
      </c>
      <c r="E277" s="13">
        <v>114030403</v>
      </c>
      <c r="F277" s="14" t="s">
        <v>57</v>
      </c>
      <c r="G277" s="12" t="s">
        <v>41</v>
      </c>
      <c r="H277" s="6"/>
      <c r="I277" s="12" t="s">
        <v>706</v>
      </c>
      <c r="J277" s="6"/>
      <c r="K277" s="6"/>
      <c r="L277" s="12" t="s">
        <v>905</v>
      </c>
      <c r="M277" s="6"/>
      <c r="N277" s="6"/>
      <c r="O277" s="6"/>
      <c r="P277" s="9"/>
      <c r="Q277" s="9"/>
      <c r="R277" s="9"/>
      <c r="S277" s="9"/>
      <c r="T277" s="9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29">
        <f>20*7</f>
        <v>140</v>
      </c>
      <c r="AL277" s="18"/>
      <c r="AM277" s="5"/>
      <c r="AN277" s="5"/>
      <c r="AO277" s="7">
        <f t="shared" si="4"/>
        <v>0</v>
      </c>
    </row>
    <row r="278" spans="1:41" s="8" customFormat="1" ht="39.950000000000003" customHeight="1" x14ac:dyDescent="0.25">
      <c r="A278" s="6"/>
      <c r="B278" s="6"/>
      <c r="C278" s="12" t="s">
        <v>101</v>
      </c>
      <c r="D278" s="12" t="s">
        <v>102</v>
      </c>
      <c r="E278" s="13">
        <v>114030903</v>
      </c>
      <c r="F278" s="14" t="s">
        <v>513</v>
      </c>
      <c r="G278" s="12" t="s">
        <v>63</v>
      </c>
      <c r="H278" s="6"/>
      <c r="I278" s="12" t="s">
        <v>1072</v>
      </c>
      <c r="J278" s="6"/>
      <c r="K278" s="6"/>
      <c r="L278" s="12" t="s">
        <v>781</v>
      </c>
      <c r="M278" s="6"/>
      <c r="N278" s="6"/>
      <c r="O278" s="6"/>
      <c r="P278" s="9"/>
      <c r="Q278" s="9"/>
      <c r="R278" s="9"/>
      <c r="S278" s="9"/>
      <c r="T278" s="9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29">
        <f>191.5*7</f>
        <v>1340.5</v>
      </c>
      <c r="AL278" s="18"/>
      <c r="AM278" s="5"/>
      <c r="AN278" s="5"/>
      <c r="AO278" s="7">
        <f t="shared" si="4"/>
        <v>0</v>
      </c>
    </row>
    <row r="279" spans="1:41" s="8" customFormat="1" ht="39.950000000000003" customHeight="1" x14ac:dyDescent="0.25">
      <c r="A279" s="6"/>
      <c r="B279" s="6"/>
      <c r="C279" s="12" t="s">
        <v>101</v>
      </c>
      <c r="D279" s="12" t="s">
        <v>102</v>
      </c>
      <c r="E279" s="13">
        <v>114030905</v>
      </c>
      <c r="F279" s="14" t="s">
        <v>292</v>
      </c>
      <c r="G279" s="12" t="s">
        <v>38</v>
      </c>
      <c r="H279" s="6"/>
      <c r="I279" s="12" t="s">
        <v>1124</v>
      </c>
      <c r="J279" s="6"/>
      <c r="K279" s="6"/>
      <c r="L279" s="12" t="s">
        <v>802</v>
      </c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29">
        <f>6*7</f>
        <v>42</v>
      </c>
      <c r="AL279" s="18"/>
      <c r="AM279" s="5"/>
      <c r="AN279" s="5"/>
      <c r="AO279" s="7">
        <f t="shared" si="4"/>
        <v>0</v>
      </c>
    </row>
    <row r="280" spans="1:41" s="8" customFormat="1" ht="39.950000000000003" customHeight="1" x14ac:dyDescent="0.25">
      <c r="A280" s="6"/>
      <c r="B280" s="6"/>
      <c r="C280" s="12" t="s">
        <v>101</v>
      </c>
      <c r="D280" s="12" t="s">
        <v>102</v>
      </c>
      <c r="E280" s="23">
        <v>114031001</v>
      </c>
      <c r="F280" s="24" t="s">
        <v>1126</v>
      </c>
      <c r="G280" s="12" t="s">
        <v>58</v>
      </c>
      <c r="H280" s="6"/>
      <c r="I280" s="12" t="s">
        <v>1125</v>
      </c>
      <c r="J280" s="6"/>
      <c r="K280" s="6"/>
      <c r="L280" s="12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29">
        <f>12.75*7</f>
        <v>89.25</v>
      </c>
      <c r="AL280" s="18"/>
      <c r="AM280" s="5"/>
      <c r="AN280" s="5"/>
      <c r="AO280" s="7">
        <f t="shared" si="4"/>
        <v>0</v>
      </c>
    </row>
    <row r="281" spans="1:41" s="8" customFormat="1" ht="39.950000000000003" customHeight="1" x14ac:dyDescent="0.25">
      <c r="A281" s="6"/>
      <c r="B281" s="6"/>
      <c r="C281" s="12" t="s">
        <v>101</v>
      </c>
      <c r="D281" s="12" t="s">
        <v>102</v>
      </c>
      <c r="E281" s="13">
        <v>114040103</v>
      </c>
      <c r="F281" s="14" t="s">
        <v>466</v>
      </c>
      <c r="G281" s="12" t="s">
        <v>41</v>
      </c>
      <c r="H281" s="6"/>
      <c r="I281" s="12" t="s">
        <v>615</v>
      </c>
      <c r="J281" s="6"/>
      <c r="K281" s="6"/>
      <c r="L281" s="12" t="s">
        <v>1127</v>
      </c>
      <c r="M281" s="6"/>
      <c r="N281" s="6"/>
      <c r="O281" s="6"/>
      <c r="P281" s="9"/>
      <c r="Q281" s="9"/>
      <c r="R281" s="9"/>
      <c r="S281" s="9"/>
      <c r="T281" s="9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29">
        <f>113.5*7</f>
        <v>794.5</v>
      </c>
      <c r="AL281" s="18"/>
      <c r="AM281" s="5"/>
      <c r="AN281" s="5"/>
      <c r="AO281" s="7">
        <f t="shared" si="4"/>
        <v>0</v>
      </c>
    </row>
    <row r="282" spans="1:41" s="8" customFormat="1" ht="39.950000000000003" customHeight="1" x14ac:dyDescent="0.25">
      <c r="A282" s="6"/>
      <c r="B282" s="6"/>
      <c r="C282" s="12" t="s">
        <v>101</v>
      </c>
      <c r="D282" s="12" t="s">
        <v>102</v>
      </c>
      <c r="E282" s="13">
        <v>114040203</v>
      </c>
      <c r="F282" s="14" t="s">
        <v>241</v>
      </c>
      <c r="G282" s="12" t="s">
        <v>41</v>
      </c>
      <c r="H282" s="6"/>
      <c r="I282" s="12" t="s">
        <v>650</v>
      </c>
      <c r="J282" s="6"/>
      <c r="K282" s="6"/>
      <c r="L282" s="12" t="s">
        <v>758</v>
      </c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29">
        <f>91*7</f>
        <v>637</v>
      </c>
      <c r="AL282" s="18"/>
      <c r="AM282" s="5"/>
      <c r="AN282" s="5"/>
      <c r="AO282" s="7">
        <f t="shared" si="4"/>
        <v>0</v>
      </c>
    </row>
    <row r="283" spans="1:41" s="8" customFormat="1" ht="39.950000000000003" customHeight="1" x14ac:dyDescent="0.25">
      <c r="A283" s="6"/>
      <c r="B283" s="6"/>
      <c r="C283" s="12" t="s">
        <v>101</v>
      </c>
      <c r="D283" s="12" t="s">
        <v>102</v>
      </c>
      <c r="E283" s="13">
        <v>114040303</v>
      </c>
      <c r="F283" s="14" t="s">
        <v>233</v>
      </c>
      <c r="G283" s="12" t="s">
        <v>41</v>
      </c>
      <c r="H283" s="6"/>
      <c r="I283" s="12" t="s">
        <v>650</v>
      </c>
      <c r="J283" s="6"/>
      <c r="K283" s="6"/>
      <c r="L283" s="12" t="s">
        <v>764</v>
      </c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29">
        <f>266*7</f>
        <v>1862</v>
      </c>
      <c r="AL283" s="18"/>
      <c r="AM283" s="5"/>
      <c r="AN283" s="5"/>
      <c r="AO283" s="7">
        <f t="shared" si="4"/>
        <v>0</v>
      </c>
    </row>
    <row r="284" spans="1:41" s="8" customFormat="1" ht="39.950000000000003" customHeight="1" x14ac:dyDescent="0.25">
      <c r="A284" s="6"/>
      <c r="B284" s="6"/>
      <c r="C284" s="12" t="s">
        <v>101</v>
      </c>
      <c r="D284" s="12" t="s">
        <v>102</v>
      </c>
      <c r="E284" s="13">
        <v>114040403</v>
      </c>
      <c r="F284" s="14" t="s">
        <v>1128</v>
      </c>
      <c r="G284" s="12" t="s">
        <v>108</v>
      </c>
      <c r="H284" s="6"/>
      <c r="I284" s="12" t="s">
        <v>1129</v>
      </c>
      <c r="J284" s="6"/>
      <c r="K284" s="6"/>
      <c r="L284" s="12" t="s">
        <v>906</v>
      </c>
      <c r="M284" s="6"/>
      <c r="N284" s="6"/>
      <c r="O284" s="6"/>
      <c r="P284" s="9"/>
      <c r="Q284" s="9"/>
      <c r="R284" s="9"/>
      <c r="S284" s="9"/>
      <c r="T284" s="9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29">
        <f>330*7</f>
        <v>2310</v>
      </c>
      <c r="AL284" s="18"/>
      <c r="AM284" s="5"/>
      <c r="AN284" s="5"/>
      <c r="AO284" s="7">
        <f t="shared" si="4"/>
        <v>0</v>
      </c>
    </row>
    <row r="285" spans="1:41" s="8" customFormat="1" ht="39.950000000000003" customHeight="1" x14ac:dyDescent="0.25">
      <c r="A285" s="6"/>
      <c r="B285" s="6"/>
      <c r="C285" s="12" t="s">
        <v>101</v>
      </c>
      <c r="D285" s="12" t="s">
        <v>102</v>
      </c>
      <c r="E285" s="13">
        <v>114040503</v>
      </c>
      <c r="F285" s="14" t="s">
        <v>64</v>
      </c>
      <c r="G285" s="12" t="s">
        <v>63</v>
      </c>
      <c r="H285" s="6"/>
      <c r="I285" s="12" t="s">
        <v>1129</v>
      </c>
      <c r="J285" s="6"/>
      <c r="K285" s="6"/>
      <c r="L285" s="12" t="s">
        <v>906</v>
      </c>
      <c r="M285" s="6"/>
      <c r="N285" s="6"/>
      <c r="O285" s="6"/>
      <c r="P285" s="9"/>
      <c r="Q285" s="9"/>
      <c r="R285" s="9"/>
      <c r="S285" s="9"/>
      <c r="T285" s="9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29">
        <f>12*7</f>
        <v>84</v>
      </c>
      <c r="AL285" s="18"/>
      <c r="AM285" s="5"/>
      <c r="AN285" s="5"/>
      <c r="AO285" s="7">
        <f t="shared" si="4"/>
        <v>0</v>
      </c>
    </row>
    <row r="286" spans="1:41" s="8" customFormat="1" ht="39.950000000000003" customHeight="1" x14ac:dyDescent="0.25">
      <c r="A286" s="6"/>
      <c r="B286" s="6"/>
      <c r="C286" s="12" t="s">
        <v>101</v>
      </c>
      <c r="D286" s="12" t="s">
        <v>102</v>
      </c>
      <c r="E286" s="13">
        <v>114041303</v>
      </c>
      <c r="F286" s="14" t="s">
        <v>243</v>
      </c>
      <c r="G286" s="12" t="s">
        <v>41</v>
      </c>
      <c r="H286" s="6"/>
      <c r="I286" s="12" t="s">
        <v>650</v>
      </c>
      <c r="J286" s="6"/>
      <c r="K286" s="6"/>
      <c r="L286" s="12" t="s">
        <v>770</v>
      </c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29">
        <f>30*7</f>
        <v>210</v>
      </c>
      <c r="AL286" s="18"/>
      <c r="AM286" s="5"/>
      <c r="AN286" s="5"/>
      <c r="AO286" s="7">
        <f t="shared" si="4"/>
        <v>0</v>
      </c>
    </row>
    <row r="287" spans="1:41" s="8" customFormat="1" ht="39.950000000000003" customHeight="1" x14ac:dyDescent="0.25">
      <c r="A287" s="6"/>
      <c r="B287" s="6"/>
      <c r="C287" s="12" t="s">
        <v>101</v>
      </c>
      <c r="D287" s="12" t="s">
        <v>103</v>
      </c>
      <c r="E287" s="13">
        <v>114050103</v>
      </c>
      <c r="F287" s="14" t="s">
        <v>65</v>
      </c>
      <c r="G287" s="12" t="s">
        <v>41</v>
      </c>
      <c r="H287" s="6"/>
      <c r="I287" s="12" t="s">
        <v>706</v>
      </c>
      <c r="J287" s="6"/>
      <c r="K287" s="6"/>
      <c r="L287" s="12" t="s">
        <v>902</v>
      </c>
      <c r="M287" s="6"/>
      <c r="N287" s="6"/>
      <c r="O287" s="6"/>
      <c r="P287" s="9"/>
      <c r="Q287" s="9"/>
      <c r="R287" s="9"/>
      <c r="S287" s="9"/>
      <c r="T287" s="9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29">
        <f>70*7</f>
        <v>490</v>
      </c>
      <c r="AL287" s="18"/>
      <c r="AM287" s="5"/>
      <c r="AN287" s="5"/>
      <c r="AO287" s="7">
        <f t="shared" si="4"/>
        <v>0</v>
      </c>
    </row>
    <row r="288" spans="1:41" s="8" customFormat="1" ht="39.950000000000003" customHeight="1" x14ac:dyDescent="0.25">
      <c r="A288" s="6"/>
      <c r="B288" s="6"/>
      <c r="C288" s="12" t="s">
        <v>101</v>
      </c>
      <c r="D288" s="12" t="s">
        <v>102</v>
      </c>
      <c r="E288" s="23">
        <v>114050203</v>
      </c>
      <c r="F288" s="24" t="s">
        <v>1130</v>
      </c>
      <c r="G288" s="12" t="s">
        <v>41</v>
      </c>
      <c r="H288" s="6"/>
      <c r="I288" s="12" t="s">
        <v>1072</v>
      </c>
      <c r="J288" s="6"/>
      <c r="K288" s="6"/>
      <c r="L288" s="12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29">
        <f>3569*7</f>
        <v>24983</v>
      </c>
      <c r="AL288" s="18"/>
      <c r="AM288" s="5"/>
      <c r="AN288" s="5"/>
      <c r="AO288" s="7">
        <f t="shared" si="4"/>
        <v>0</v>
      </c>
    </row>
    <row r="289" spans="1:41" s="8" customFormat="1" ht="39.950000000000003" customHeight="1" x14ac:dyDescent="0.25">
      <c r="A289" s="6"/>
      <c r="B289" s="6"/>
      <c r="C289" s="12" t="s">
        <v>101</v>
      </c>
      <c r="D289" s="12" t="s">
        <v>102</v>
      </c>
      <c r="E289" s="23">
        <v>114050309</v>
      </c>
      <c r="F289" s="24" t="s">
        <v>944</v>
      </c>
      <c r="G289" s="12" t="s">
        <v>40</v>
      </c>
      <c r="H289" s="6"/>
      <c r="I289" s="12" t="s">
        <v>653</v>
      </c>
      <c r="J289" s="6"/>
      <c r="K289" s="6"/>
      <c r="L289" s="12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29">
        <f>29907.75*7</f>
        <v>209354.25</v>
      </c>
      <c r="AL289" s="18"/>
      <c r="AM289" s="5"/>
      <c r="AN289" s="5"/>
      <c r="AO289" s="7">
        <f t="shared" si="4"/>
        <v>0</v>
      </c>
    </row>
    <row r="290" spans="1:41" s="8" customFormat="1" ht="39.950000000000003" customHeight="1" x14ac:dyDescent="0.25">
      <c r="A290" s="6"/>
      <c r="B290" s="6"/>
      <c r="C290" s="12" t="s">
        <v>101</v>
      </c>
      <c r="D290" s="12" t="s">
        <v>102</v>
      </c>
      <c r="E290" s="13">
        <v>114050803</v>
      </c>
      <c r="F290" s="14" t="s">
        <v>284</v>
      </c>
      <c r="G290" s="12" t="s">
        <v>41</v>
      </c>
      <c r="H290" s="6"/>
      <c r="I290" s="12" t="s">
        <v>1131</v>
      </c>
      <c r="J290" s="6"/>
      <c r="K290" s="6"/>
      <c r="L290" s="12" t="s">
        <v>797</v>
      </c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29">
        <f>823.42*7</f>
        <v>5763.94</v>
      </c>
      <c r="AL290" s="18"/>
      <c r="AM290" s="5"/>
      <c r="AN290" s="5"/>
      <c r="AO290" s="7">
        <f t="shared" si="4"/>
        <v>0</v>
      </c>
    </row>
    <row r="291" spans="1:41" s="8" customFormat="1" ht="39.950000000000003" customHeight="1" x14ac:dyDescent="0.25">
      <c r="A291" s="6"/>
      <c r="B291" s="6"/>
      <c r="C291" s="12" t="s">
        <v>101</v>
      </c>
      <c r="D291" s="12" t="s">
        <v>102</v>
      </c>
      <c r="E291" s="13">
        <v>114050909</v>
      </c>
      <c r="F291" s="14" t="s">
        <v>298</v>
      </c>
      <c r="G291" s="12" t="s">
        <v>40</v>
      </c>
      <c r="H291" s="6"/>
      <c r="I291" s="12" t="s">
        <v>653</v>
      </c>
      <c r="J291" s="6"/>
      <c r="K291" s="6"/>
      <c r="L291" s="12" t="s">
        <v>738</v>
      </c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29">
        <f>125921*7</f>
        <v>881447</v>
      </c>
      <c r="AL291" s="18"/>
      <c r="AM291" s="5"/>
      <c r="AN291" s="5"/>
      <c r="AO291" s="7">
        <f t="shared" si="4"/>
        <v>0</v>
      </c>
    </row>
    <row r="292" spans="1:41" s="8" customFormat="1" ht="39.950000000000003" customHeight="1" x14ac:dyDescent="0.25">
      <c r="A292" s="6"/>
      <c r="B292" s="6"/>
      <c r="C292" s="12" t="s">
        <v>101</v>
      </c>
      <c r="D292" s="12" t="s">
        <v>102</v>
      </c>
      <c r="E292" s="23">
        <v>114051009</v>
      </c>
      <c r="F292" s="24" t="s">
        <v>523</v>
      </c>
      <c r="G292" s="12" t="s">
        <v>38</v>
      </c>
      <c r="H292" s="6"/>
      <c r="I292" s="12" t="s">
        <v>600</v>
      </c>
      <c r="J292" s="6"/>
      <c r="K292" s="6"/>
      <c r="L292" s="12" t="s">
        <v>876</v>
      </c>
      <c r="M292" s="6"/>
      <c r="N292" s="6"/>
      <c r="O292" s="6"/>
      <c r="P292" s="9"/>
      <c r="Q292" s="9"/>
      <c r="R292" s="9"/>
      <c r="S292" s="9"/>
      <c r="T292" s="9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29">
        <f>298254*7</f>
        <v>2087778</v>
      </c>
      <c r="AL292" s="18"/>
      <c r="AM292" s="5"/>
      <c r="AN292" s="5"/>
      <c r="AO292" s="7">
        <f t="shared" si="4"/>
        <v>0</v>
      </c>
    </row>
    <row r="293" spans="1:41" s="8" customFormat="1" ht="39.950000000000003" customHeight="1" x14ac:dyDescent="0.25">
      <c r="A293" s="6"/>
      <c r="B293" s="6"/>
      <c r="C293" s="12" t="s">
        <v>101</v>
      </c>
      <c r="D293" s="12" t="s">
        <v>102</v>
      </c>
      <c r="E293" s="23">
        <v>114051104</v>
      </c>
      <c r="F293" s="24" t="s">
        <v>1132</v>
      </c>
      <c r="G293" s="12" t="s">
        <v>58</v>
      </c>
      <c r="H293" s="6"/>
      <c r="I293" s="12" t="s">
        <v>612</v>
      </c>
      <c r="J293" s="6"/>
      <c r="K293" s="6"/>
      <c r="L293" s="12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29">
        <f>857.3*7</f>
        <v>6001.0999999999995</v>
      </c>
      <c r="AL293" s="18"/>
      <c r="AM293" s="5"/>
      <c r="AN293" s="5"/>
      <c r="AO293" s="7">
        <f t="shared" si="4"/>
        <v>0</v>
      </c>
    </row>
    <row r="294" spans="1:41" s="8" customFormat="1" ht="39.950000000000003" customHeight="1" x14ac:dyDescent="0.25">
      <c r="A294" s="6"/>
      <c r="B294" s="6"/>
      <c r="C294" s="12" t="s">
        <v>101</v>
      </c>
      <c r="D294" s="12" t="s">
        <v>102</v>
      </c>
      <c r="E294" s="13">
        <v>114051105</v>
      </c>
      <c r="F294" s="14" t="s">
        <v>975</v>
      </c>
      <c r="G294" s="12" t="s">
        <v>41</v>
      </c>
      <c r="H294" s="6"/>
      <c r="I294" s="12"/>
      <c r="J294" s="6"/>
      <c r="K294" s="6"/>
      <c r="L294" s="12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29">
        <f>7.6*7</f>
        <v>53.199999999999996</v>
      </c>
      <c r="AL294" s="18"/>
      <c r="AM294" s="5"/>
      <c r="AN294" s="5"/>
      <c r="AO294" s="7">
        <f t="shared" si="4"/>
        <v>0</v>
      </c>
    </row>
    <row r="295" spans="1:41" s="8" customFormat="1" ht="39.950000000000003" customHeight="1" x14ac:dyDescent="0.25">
      <c r="A295" s="6"/>
      <c r="B295" s="6"/>
      <c r="C295" s="12" t="s">
        <v>101</v>
      </c>
      <c r="D295" s="12" t="s">
        <v>102</v>
      </c>
      <c r="E295" s="13">
        <v>114051204</v>
      </c>
      <c r="F295" s="14" t="s">
        <v>202</v>
      </c>
      <c r="G295" s="12" t="s">
        <v>60</v>
      </c>
      <c r="H295" s="6"/>
      <c r="I295" s="12"/>
      <c r="J295" s="6"/>
      <c r="K295" s="6"/>
      <c r="L295" s="12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29">
        <f>307.8*7</f>
        <v>2154.6</v>
      </c>
      <c r="AL295" s="18"/>
      <c r="AM295" s="5"/>
      <c r="AN295" s="5"/>
      <c r="AO295" s="7">
        <f t="shared" si="4"/>
        <v>0</v>
      </c>
    </row>
    <row r="296" spans="1:41" s="8" customFormat="1" ht="39.950000000000003" customHeight="1" x14ac:dyDescent="0.25">
      <c r="A296" s="6"/>
      <c r="B296" s="6"/>
      <c r="C296" s="12" t="s">
        <v>101</v>
      </c>
      <c r="D296" s="12" t="s">
        <v>102</v>
      </c>
      <c r="E296" s="13">
        <v>114051930</v>
      </c>
      <c r="F296" s="14" t="s">
        <v>976</v>
      </c>
      <c r="G296" s="12" t="s">
        <v>40</v>
      </c>
      <c r="H296" s="6"/>
      <c r="I296" s="12" t="s">
        <v>1133</v>
      </c>
      <c r="J296" s="6"/>
      <c r="K296" s="6"/>
      <c r="L296" s="12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29">
        <f>471*7</f>
        <v>3297</v>
      </c>
      <c r="AL296" s="18"/>
      <c r="AM296" s="5"/>
      <c r="AN296" s="5"/>
      <c r="AO296" s="7">
        <f t="shared" si="4"/>
        <v>0</v>
      </c>
    </row>
    <row r="297" spans="1:41" s="8" customFormat="1" ht="39.950000000000003" customHeight="1" x14ac:dyDescent="0.25">
      <c r="A297" s="6"/>
      <c r="B297" s="6"/>
      <c r="C297" s="12" t="s">
        <v>101</v>
      </c>
      <c r="D297" s="12" t="s">
        <v>102</v>
      </c>
      <c r="E297" s="13">
        <v>114051960</v>
      </c>
      <c r="F297" s="14" t="s">
        <v>977</v>
      </c>
      <c r="G297" s="12" t="s">
        <v>40</v>
      </c>
      <c r="H297" s="6"/>
      <c r="I297" s="12" t="s">
        <v>1133</v>
      </c>
      <c r="J297" s="6"/>
      <c r="K297" s="6"/>
      <c r="L297" s="12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29">
        <f>888*7</f>
        <v>6216</v>
      </c>
      <c r="AL297" s="18"/>
      <c r="AM297" s="5"/>
      <c r="AN297" s="5"/>
      <c r="AO297" s="7">
        <f t="shared" si="4"/>
        <v>0</v>
      </c>
    </row>
    <row r="298" spans="1:41" s="8" customFormat="1" ht="39.950000000000003" customHeight="1" x14ac:dyDescent="0.25">
      <c r="A298" s="6"/>
      <c r="B298" s="6"/>
      <c r="C298" s="12" t="s">
        <v>101</v>
      </c>
      <c r="D298" s="12" t="s">
        <v>102</v>
      </c>
      <c r="E298" s="13">
        <v>114060209</v>
      </c>
      <c r="F298" s="14" t="s">
        <v>346</v>
      </c>
      <c r="G298" s="12" t="s">
        <v>40</v>
      </c>
      <c r="H298" s="6"/>
      <c r="I298" s="12" t="s">
        <v>1134</v>
      </c>
      <c r="J298" s="6"/>
      <c r="K298" s="6"/>
      <c r="L298" s="12" t="s">
        <v>814</v>
      </c>
      <c r="M298" s="6"/>
      <c r="N298" s="6"/>
      <c r="O298" s="6"/>
      <c r="P298" s="9"/>
      <c r="Q298" s="9"/>
      <c r="R298" s="9"/>
      <c r="S298" s="9"/>
      <c r="T298" s="9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29">
        <f>17948*7</f>
        <v>125636</v>
      </c>
      <c r="AL298" s="18"/>
      <c r="AM298" s="5"/>
      <c r="AN298" s="5"/>
      <c r="AO298" s="7">
        <f t="shared" si="4"/>
        <v>0</v>
      </c>
    </row>
    <row r="299" spans="1:41" s="8" customFormat="1" ht="39.950000000000003" customHeight="1" x14ac:dyDescent="0.25">
      <c r="A299" s="6"/>
      <c r="B299" s="6"/>
      <c r="C299" s="12" t="s">
        <v>101</v>
      </c>
      <c r="D299" s="12" t="s">
        <v>102</v>
      </c>
      <c r="E299" s="13">
        <v>114070103</v>
      </c>
      <c r="F299" s="14" t="s">
        <v>357</v>
      </c>
      <c r="G299" s="12" t="s">
        <v>41</v>
      </c>
      <c r="H299" s="6"/>
      <c r="I299" s="12" t="s">
        <v>1072</v>
      </c>
      <c r="J299" s="6"/>
      <c r="K299" s="6"/>
      <c r="L299" s="12" t="s">
        <v>816</v>
      </c>
      <c r="M299" s="6"/>
      <c r="N299" s="6"/>
      <c r="O299" s="6"/>
      <c r="P299" s="9"/>
      <c r="Q299" s="9"/>
      <c r="R299" s="9"/>
      <c r="S299" s="9"/>
      <c r="T299" s="9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29">
        <f>117*7</f>
        <v>819</v>
      </c>
      <c r="AL299" s="18"/>
      <c r="AM299" s="5"/>
      <c r="AN299" s="5"/>
      <c r="AO299" s="7">
        <f t="shared" si="4"/>
        <v>0</v>
      </c>
    </row>
    <row r="300" spans="1:41" s="8" customFormat="1" ht="39.950000000000003" customHeight="1" x14ac:dyDescent="0.25">
      <c r="A300" s="6"/>
      <c r="B300" s="6"/>
      <c r="C300" s="12" t="s">
        <v>101</v>
      </c>
      <c r="D300" s="12" t="s">
        <v>102</v>
      </c>
      <c r="E300" s="13">
        <v>114070109</v>
      </c>
      <c r="F300" s="14" t="s">
        <v>227</v>
      </c>
      <c r="G300" s="12" t="s">
        <v>40</v>
      </c>
      <c r="H300" s="6"/>
      <c r="I300" s="12" t="s">
        <v>648</v>
      </c>
      <c r="J300" s="6"/>
      <c r="K300" s="6"/>
      <c r="L300" s="12" t="s">
        <v>749</v>
      </c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29">
        <v>20</v>
      </c>
      <c r="AL300" s="18"/>
      <c r="AM300" s="5"/>
      <c r="AN300" s="5"/>
      <c r="AO300" s="7">
        <f t="shared" si="4"/>
        <v>0</v>
      </c>
    </row>
    <row r="301" spans="1:41" s="8" customFormat="1" ht="39.950000000000003" customHeight="1" x14ac:dyDescent="0.25">
      <c r="A301" s="6"/>
      <c r="B301" s="6"/>
      <c r="C301" s="12" t="s">
        <v>101</v>
      </c>
      <c r="D301" s="12" t="s">
        <v>103</v>
      </c>
      <c r="E301" s="13">
        <v>114080209</v>
      </c>
      <c r="F301" s="14" t="s">
        <v>66</v>
      </c>
      <c r="G301" s="12" t="s">
        <v>40</v>
      </c>
      <c r="H301" s="6"/>
      <c r="I301" s="12" t="s">
        <v>712</v>
      </c>
      <c r="J301" s="6"/>
      <c r="K301" s="6"/>
      <c r="L301" s="12" t="s">
        <v>829</v>
      </c>
      <c r="M301" s="6"/>
      <c r="N301" s="6"/>
      <c r="O301" s="6"/>
      <c r="P301" s="9"/>
      <c r="Q301" s="9"/>
      <c r="R301" s="9"/>
      <c r="S301" s="9"/>
      <c r="T301" s="9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29">
        <f>4500*7</f>
        <v>31500</v>
      </c>
      <c r="AL301" s="18"/>
      <c r="AM301" s="5"/>
      <c r="AN301" s="5"/>
      <c r="AO301" s="7">
        <f t="shared" si="4"/>
        <v>0</v>
      </c>
    </row>
    <row r="302" spans="1:41" s="8" customFormat="1" ht="39.950000000000003" customHeight="1" x14ac:dyDescent="0.25">
      <c r="A302" s="6"/>
      <c r="B302" s="6"/>
      <c r="C302" s="12" t="s">
        <v>101</v>
      </c>
      <c r="D302" s="12" t="s">
        <v>102</v>
      </c>
      <c r="E302" s="13">
        <v>114080402</v>
      </c>
      <c r="F302" s="14" t="s">
        <v>126</v>
      </c>
      <c r="G302" s="12" t="s">
        <v>58</v>
      </c>
      <c r="H302" s="6"/>
      <c r="I302" s="12" t="s">
        <v>605</v>
      </c>
      <c r="J302" s="6"/>
      <c r="K302" s="6"/>
      <c r="L302" s="12" t="s">
        <v>735</v>
      </c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29">
        <f>456.5*7</f>
        <v>3195.5</v>
      </c>
      <c r="AL302" s="18"/>
      <c r="AM302" s="5"/>
      <c r="AN302" s="5"/>
      <c r="AO302" s="7">
        <f t="shared" si="4"/>
        <v>0</v>
      </c>
    </row>
    <row r="303" spans="1:41" s="8" customFormat="1" ht="39.950000000000003" customHeight="1" x14ac:dyDescent="0.25">
      <c r="A303" s="6"/>
      <c r="B303" s="6"/>
      <c r="C303" s="12" t="s">
        <v>101</v>
      </c>
      <c r="D303" s="12" t="s">
        <v>103</v>
      </c>
      <c r="E303" s="13">
        <v>114080509</v>
      </c>
      <c r="F303" s="14" t="s">
        <v>67</v>
      </c>
      <c r="G303" s="12" t="s">
        <v>40</v>
      </c>
      <c r="H303" s="6"/>
      <c r="I303" s="12" t="s">
        <v>712</v>
      </c>
      <c r="J303" s="6"/>
      <c r="K303" s="6"/>
      <c r="L303" s="12" t="s">
        <v>829</v>
      </c>
      <c r="M303" s="6"/>
      <c r="N303" s="6"/>
      <c r="O303" s="6"/>
      <c r="P303" s="9"/>
      <c r="Q303" s="9"/>
      <c r="R303" s="9"/>
      <c r="S303" s="9"/>
      <c r="T303" s="9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29">
        <f>48650*7</f>
        <v>340550</v>
      </c>
      <c r="AL303" s="18"/>
      <c r="AM303" s="5"/>
      <c r="AN303" s="5"/>
      <c r="AO303" s="7">
        <f t="shared" si="4"/>
        <v>0</v>
      </c>
    </row>
    <row r="304" spans="1:41" s="8" customFormat="1" ht="39.950000000000003" customHeight="1" x14ac:dyDescent="0.25">
      <c r="A304" s="6"/>
      <c r="B304" s="6"/>
      <c r="C304" s="12" t="s">
        <v>101</v>
      </c>
      <c r="D304" s="12" t="s">
        <v>102</v>
      </c>
      <c r="E304" s="13">
        <v>114080609</v>
      </c>
      <c r="F304" s="14" t="s">
        <v>369</v>
      </c>
      <c r="G304" s="12" t="s">
        <v>40</v>
      </c>
      <c r="H304" s="6"/>
      <c r="I304" s="12" t="s">
        <v>596</v>
      </c>
      <c r="J304" s="6"/>
      <c r="K304" s="6"/>
      <c r="L304" s="12" t="s">
        <v>829</v>
      </c>
      <c r="M304" s="6"/>
      <c r="N304" s="6"/>
      <c r="O304" s="6"/>
      <c r="P304" s="9"/>
      <c r="Q304" s="9"/>
      <c r="R304" s="9"/>
      <c r="S304" s="9"/>
      <c r="T304" s="9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29">
        <f>862*7</f>
        <v>6034</v>
      </c>
      <c r="AL304" s="18"/>
      <c r="AM304" s="5"/>
      <c r="AN304" s="5"/>
      <c r="AO304" s="7">
        <f t="shared" si="4"/>
        <v>0</v>
      </c>
    </row>
    <row r="305" spans="1:41" s="8" customFormat="1" ht="39.950000000000003" customHeight="1" x14ac:dyDescent="0.25">
      <c r="A305" s="6"/>
      <c r="B305" s="6"/>
      <c r="C305" s="12" t="s">
        <v>101</v>
      </c>
      <c r="D305" s="12" t="s">
        <v>102</v>
      </c>
      <c r="E305" s="13">
        <v>114080709</v>
      </c>
      <c r="F305" s="14" t="s">
        <v>181</v>
      </c>
      <c r="G305" s="12" t="s">
        <v>40</v>
      </c>
      <c r="H305" s="6"/>
      <c r="I305" s="12" t="s">
        <v>596</v>
      </c>
      <c r="J305" s="6"/>
      <c r="K305" s="6"/>
      <c r="L305" s="12" t="s">
        <v>736</v>
      </c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29">
        <f>7015*7</f>
        <v>49105</v>
      </c>
      <c r="AL305" s="18"/>
      <c r="AM305" s="5"/>
      <c r="AN305" s="5"/>
      <c r="AO305" s="7">
        <f t="shared" si="4"/>
        <v>0</v>
      </c>
    </row>
    <row r="306" spans="1:41" s="8" customFormat="1" ht="39.950000000000003" customHeight="1" x14ac:dyDescent="0.25">
      <c r="A306" s="6"/>
      <c r="B306" s="6"/>
      <c r="C306" s="12" t="s">
        <v>101</v>
      </c>
      <c r="D306" s="12" t="s">
        <v>102</v>
      </c>
      <c r="E306" s="13">
        <v>114081003</v>
      </c>
      <c r="F306" s="14" t="s">
        <v>189</v>
      </c>
      <c r="G306" s="12" t="s">
        <v>41</v>
      </c>
      <c r="H306" s="6"/>
      <c r="I306" s="12" t="s">
        <v>603</v>
      </c>
      <c r="J306" s="6"/>
      <c r="K306" s="6"/>
      <c r="L306" s="12" t="s">
        <v>735</v>
      </c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29">
        <f>598*7</f>
        <v>4186</v>
      </c>
      <c r="AL306" s="18"/>
      <c r="AM306" s="5"/>
      <c r="AN306" s="5"/>
      <c r="AO306" s="7">
        <f t="shared" si="4"/>
        <v>0</v>
      </c>
    </row>
    <row r="307" spans="1:41" s="8" customFormat="1" ht="39.950000000000003" customHeight="1" x14ac:dyDescent="0.25">
      <c r="A307" s="6"/>
      <c r="B307" s="6"/>
      <c r="C307" s="12" t="s">
        <v>101</v>
      </c>
      <c r="D307" s="12" t="s">
        <v>102</v>
      </c>
      <c r="E307" s="13">
        <v>114081109</v>
      </c>
      <c r="F307" s="14" t="s">
        <v>211</v>
      </c>
      <c r="G307" s="12" t="s">
        <v>40</v>
      </c>
      <c r="H307" s="6"/>
      <c r="I307" s="12" t="s">
        <v>596</v>
      </c>
      <c r="J307" s="6"/>
      <c r="K307" s="6"/>
      <c r="L307" s="12" t="s">
        <v>736</v>
      </c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29">
        <f>5935*7</f>
        <v>41545</v>
      </c>
      <c r="AL307" s="18"/>
      <c r="AM307" s="5"/>
      <c r="AN307" s="5"/>
      <c r="AO307" s="7">
        <f t="shared" si="4"/>
        <v>0</v>
      </c>
    </row>
    <row r="308" spans="1:41" s="8" customFormat="1" ht="39.950000000000003" customHeight="1" x14ac:dyDescent="0.25">
      <c r="A308" s="6"/>
      <c r="B308" s="6"/>
      <c r="C308" s="12" t="s">
        <v>101</v>
      </c>
      <c r="D308" s="12" t="s">
        <v>102</v>
      </c>
      <c r="E308" s="13">
        <v>114081303</v>
      </c>
      <c r="F308" s="14" t="s">
        <v>109</v>
      </c>
      <c r="G308" s="12" t="s">
        <v>41</v>
      </c>
      <c r="H308" s="6"/>
      <c r="I308" s="12" t="s">
        <v>706</v>
      </c>
      <c r="J308" s="6"/>
      <c r="K308" s="6"/>
      <c r="L308" s="12" t="s">
        <v>907</v>
      </c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29">
        <f>170*7</f>
        <v>1190</v>
      </c>
      <c r="AL308" s="18"/>
      <c r="AM308" s="5"/>
      <c r="AN308" s="5"/>
      <c r="AO308" s="7">
        <f t="shared" si="4"/>
        <v>0</v>
      </c>
    </row>
    <row r="309" spans="1:41" s="8" customFormat="1" ht="39.950000000000003" customHeight="1" x14ac:dyDescent="0.25">
      <c r="A309" s="6"/>
      <c r="B309" s="6"/>
      <c r="C309" s="12" t="s">
        <v>101</v>
      </c>
      <c r="D309" s="12" t="s">
        <v>102</v>
      </c>
      <c r="E309" s="13">
        <v>114081409</v>
      </c>
      <c r="F309" s="14" t="s">
        <v>524</v>
      </c>
      <c r="G309" s="12" t="s">
        <v>40</v>
      </c>
      <c r="H309" s="6"/>
      <c r="I309" s="12" t="s">
        <v>596</v>
      </c>
      <c r="J309" s="6"/>
      <c r="K309" s="6"/>
      <c r="L309" s="12" t="s">
        <v>829</v>
      </c>
      <c r="M309" s="6"/>
      <c r="N309" s="6"/>
      <c r="O309" s="6"/>
      <c r="P309" s="9"/>
      <c r="Q309" s="9"/>
      <c r="R309" s="9"/>
      <c r="S309" s="9"/>
      <c r="T309" s="9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29">
        <f>21356*7</f>
        <v>149492</v>
      </c>
      <c r="AL309" s="18"/>
      <c r="AM309" s="5"/>
      <c r="AN309" s="5"/>
      <c r="AO309" s="7">
        <f t="shared" si="4"/>
        <v>0</v>
      </c>
    </row>
    <row r="310" spans="1:41" s="8" customFormat="1" ht="39.950000000000003" customHeight="1" x14ac:dyDescent="0.25">
      <c r="A310" s="6"/>
      <c r="B310" s="6"/>
      <c r="C310" s="12" t="s">
        <v>101</v>
      </c>
      <c r="D310" s="12" t="s">
        <v>102</v>
      </c>
      <c r="E310" s="13">
        <v>114081602</v>
      </c>
      <c r="F310" s="14" t="s">
        <v>447</v>
      </c>
      <c r="G310" s="12" t="s">
        <v>58</v>
      </c>
      <c r="H310" s="6"/>
      <c r="I310" s="12" t="s">
        <v>1114</v>
      </c>
      <c r="J310" s="6"/>
      <c r="K310" s="6"/>
      <c r="L310" s="12" t="s">
        <v>852</v>
      </c>
      <c r="M310" s="6"/>
      <c r="N310" s="6"/>
      <c r="O310" s="6"/>
      <c r="P310" s="9"/>
      <c r="Q310" s="9"/>
      <c r="R310" s="9"/>
      <c r="S310" s="9"/>
      <c r="T310" s="9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29">
        <f>240*7</f>
        <v>1680</v>
      </c>
      <c r="AL310" s="18"/>
      <c r="AM310" s="5"/>
      <c r="AN310" s="5"/>
      <c r="AO310" s="7">
        <f t="shared" si="4"/>
        <v>0</v>
      </c>
    </row>
    <row r="311" spans="1:41" s="8" customFormat="1" ht="39.950000000000003" customHeight="1" x14ac:dyDescent="0.25">
      <c r="A311" s="6"/>
      <c r="B311" s="6"/>
      <c r="C311" s="12" t="s">
        <v>101</v>
      </c>
      <c r="D311" s="12" t="s">
        <v>372</v>
      </c>
      <c r="E311" s="13">
        <v>114082210</v>
      </c>
      <c r="F311" s="14" t="s">
        <v>373</v>
      </c>
      <c r="G311" s="12" t="s">
        <v>40</v>
      </c>
      <c r="H311" s="6"/>
      <c r="I311" s="12" t="s">
        <v>637</v>
      </c>
      <c r="J311" s="6"/>
      <c r="K311" s="6"/>
      <c r="L311" s="12" t="s">
        <v>821</v>
      </c>
      <c r="M311" s="6"/>
      <c r="N311" s="6"/>
      <c r="O311" s="6"/>
      <c r="P311" s="9"/>
      <c r="Q311" s="9"/>
      <c r="R311" s="9"/>
      <c r="S311" s="9"/>
      <c r="T311" s="9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29">
        <f>114*7</f>
        <v>798</v>
      </c>
      <c r="AL311" s="18"/>
      <c r="AM311" s="5"/>
      <c r="AN311" s="5"/>
      <c r="AO311" s="7">
        <f t="shared" si="4"/>
        <v>0</v>
      </c>
    </row>
    <row r="312" spans="1:41" s="8" customFormat="1" ht="39.950000000000003" customHeight="1" x14ac:dyDescent="0.25">
      <c r="A312" s="6"/>
      <c r="B312" s="6"/>
      <c r="C312" s="12" t="s">
        <v>101</v>
      </c>
      <c r="D312" s="12" t="s">
        <v>372</v>
      </c>
      <c r="E312" s="13">
        <v>114082230</v>
      </c>
      <c r="F312" s="14" t="s">
        <v>374</v>
      </c>
      <c r="G312" s="12" t="s">
        <v>40</v>
      </c>
      <c r="H312" s="6"/>
      <c r="I312" s="12" t="s">
        <v>637</v>
      </c>
      <c r="J312" s="6"/>
      <c r="K312" s="6"/>
      <c r="L312" s="12" t="s">
        <v>821</v>
      </c>
      <c r="M312" s="6"/>
      <c r="N312" s="6"/>
      <c r="O312" s="6"/>
      <c r="P312" s="9"/>
      <c r="Q312" s="9"/>
      <c r="R312" s="9"/>
      <c r="S312" s="9"/>
      <c r="T312" s="9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29">
        <f>324*7</f>
        <v>2268</v>
      </c>
      <c r="AL312" s="18"/>
      <c r="AM312" s="5"/>
      <c r="AN312" s="5"/>
      <c r="AO312" s="7">
        <f t="shared" si="4"/>
        <v>0</v>
      </c>
    </row>
    <row r="313" spans="1:41" s="8" customFormat="1" ht="39.950000000000003" customHeight="1" x14ac:dyDescent="0.25">
      <c r="A313" s="6"/>
      <c r="B313" s="6"/>
      <c r="C313" s="12" t="s">
        <v>101</v>
      </c>
      <c r="D313" s="12" t="s">
        <v>372</v>
      </c>
      <c r="E313" s="13">
        <v>114082250</v>
      </c>
      <c r="F313" s="14" t="s">
        <v>375</v>
      </c>
      <c r="G313" s="12" t="s">
        <v>40</v>
      </c>
      <c r="H313" s="6"/>
      <c r="I313" s="12" t="s">
        <v>666</v>
      </c>
      <c r="J313" s="6"/>
      <c r="K313" s="6"/>
      <c r="L313" s="12" t="s">
        <v>830</v>
      </c>
      <c r="M313" s="6"/>
      <c r="N313" s="6"/>
      <c r="O313" s="6"/>
      <c r="P313" s="9"/>
      <c r="Q313" s="9"/>
      <c r="R313" s="9"/>
      <c r="S313" s="9"/>
      <c r="T313" s="9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29">
        <f>90*7</f>
        <v>630</v>
      </c>
      <c r="AL313" s="18"/>
      <c r="AM313" s="5"/>
      <c r="AN313" s="5"/>
      <c r="AO313" s="7">
        <f t="shared" si="4"/>
        <v>0</v>
      </c>
    </row>
    <row r="314" spans="1:41" s="8" customFormat="1" ht="39.950000000000003" customHeight="1" x14ac:dyDescent="0.25">
      <c r="A314" s="6"/>
      <c r="B314" s="6"/>
      <c r="C314" s="12" t="s">
        <v>101</v>
      </c>
      <c r="D314" s="12" t="s">
        <v>372</v>
      </c>
      <c r="E314" s="13">
        <v>114082260</v>
      </c>
      <c r="F314" s="14" t="s">
        <v>376</v>
      </c>
      <c r="G314" s="12" t="s">
        <v>40</v>
      </c>
      <c r="H314" s="6"/>
      <c r="I314" s="12" t="s">
        <v>666</v>
      </c>
      <c r="J314" s="6"/>
      <c r="K314" s="6"/>
      <c r="L314" s="12" t="s">
        <v>830</v>
      </c>
      <c r="M314" s="6"/>
      <c r="N314" s="6"/>
      <c r="O314" s="6"/>
      <c r="P314" s="9"/>
      <c r="Q314" s="9"/>
      <c r="R314" s="9"/>
      <c r="S314" s="9"/>
      <c r="T314" s="9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29">
        <v>240</v>
      </c>
      <c r="AL314" s="18"/>
      <c r="AM314" s="5"/>
      <c r="AN314" s="5"/>
      <c r="AO314" s="7">
        <f t="shared" si="4"/>
        <v>0</v>
      </c>
    </row>
    <row r="315" spans="1:41" s="8" customFormat="1" ht="39.950000000000003" customHeight="1" x14ac:dyDescent="0.25">
      <c r="A315" s="6"/>
      <c r="B315" s="6"/>
      <c r="C315" s="12" t="s">
        <v>101</v>
      </c>
      <c r="D315" s="12" t="s">
        <v>372</v>
      </c>
      <c r="E315" s="13">
        <v>114082270</v>
      </c>
      <c r="F315" s="14" t="s">
        <v>377</v>
      </c>
      <c r="G315" s="12" t="s">
        <v>40</v>
      </c>
      <c r="H315" s="6"/>
      <c r="I315" s="12" t="s">
        <v>666</v>
      </c>
      <c r="J315" s="6"/>
      <c r="K315" s="6"/>
      <c r="L315" s="12" t="s">
        <v>830</v>
      </c>
      <c r="M315" s="6"/>
      <c r="N315" s="6"/>
      <c r="O315" s="6"/>
      <c r="P315" s="9"/>
      <c r="Q315" s="9"/>
      <c r="R315" s="9"/>
      <c r="S315" s="9"/>
      <c r="T315" s="9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29">
        <f>70*7</f>
        <v>490</v>
      </c>
      <c r="AL315" s="18"/>
      <c r="AM315" s="5"/>
      <c r="AN315" s="5"/>
      <c r="AO315" s="7">
        <f t="shared" si="4"/>
        <v>0</v>
      </c>
    </row>
    <row r="316" spans="1:41" s="8" customFormat="1" ht="39.950000000000003" customHeight="1" x14ac:dyDescent="0.25">
      <c r="A316" s="6"/>
      <c r="B316" s="6"/>
      <c r="C316" s="12" t="s">
        <v>101</v>
      </c>
      <c r="D316" s="12" t="s">
        <v>372</v>
      </c>
      <c r="E316" s="23">
        <v>114082315</v>
      </c>
      <c r="F316" s="24" t="s">
        <v>378</v>
      </c>
      <c r="G316" s="12" t="s">
        <v>40</v>
      </c>
      <c r="H316" s="6"/>
      <c r="I316" s="12" t="s">
        <v>666</v>
      </c>
      <c r="J316" s="6"/>
      <c r="K316" s="6"/>
      <c r="L316" s="12" t="s">
        <v>831</v>
      </c>
      <c r="M316" s="6"/>
      <c r="N316" s="6"/>
      <c r="O316" s="6"/>
      <c r="P316" s="9"/>
      <c r="Q316" s="9"/>
      <c r="R316" s="9"/>
      <c r="S316" s="9"/>
      <c r="T316" s="9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29">
        <f>553*7</f>
        <v>3871</v>
      </c>
      <c r="AL316" s="18"/>
      <c r="AM316" s="5"/>
      <c r="AN316" s="5"/>
      <c r="AO316" s="7">
        <f t="shared" si="4"/>
        <v>0</v>
      </c>
    </row>
    <row r="317" spans="1:41" s="8" customFormat="1" ht="39.950000000000003" customHeight="1" x14ac:dyDescent="0.25">
      <c r="A317" s="6"/>
      <c r="B317" s="6"/>
      <c r="C317" s="12" t="s">
        <v>101</v>
      </c>
      <c r="D317" s="12" t="s">
        <v>372</v>
      </c>
      <c r="E317" s="23">
        <v>114082320</v>
      </c>
      <c r="F317" s="24" t="s">
        <v>379</v>
      </c>
      <c r="G317" s="12" t="s">
        <v>40</v>
      </c>
      <c r="H317" s="6"/>
      <c r="I317" s="12" t="s">
        <v>666</v>
      </c>
      <c r="J317" s="6"/>
      <c r="K317" s="6"/>
      <c r="L317" s="12" t="s">
        <v>832</v>
      </c>
      <c r="M317" s="6"/>
      <c r="N317" s="6"/>
      <c r="O317" s="6"/>
      <c r="P317" s="9"/>
      <c r="Q317" s="9"/>
      <c r="R317" s="9"/>
      <c r="S317" s="9"/>
      <c r="T317" s="9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29">
        <f>123*7</f>
        <v>861</v>
      </c>
      <c r="AL317" s="18"/>
      <c r="AM317" s="5"/>
      <c r="AN317" s="5"/>
      <c r="AO317" s="7">
        <f t="shared" si="4"/>
        <v>0</v>
      </c>
    </row>
    <row r="318" spans="1:41" s="8" customFormat="1" ht="39.950000000000003" customHeight="1" x14ac:dyDescent="0.25">
      <c r="A318" s="6"/>
      <c r="B318" s="6"/>
      <c r="C318" s="12" t="s">
        <v>101</v>
      </c>
      <c r="D318" s="12" t="s">
        <v>372</v>
      </c>
      <c r="E318" s="13">
        <v>114082411</v>
      </c>
      <c r="F318" s="14" t="s">
        <v>380</v>
      </c>
      <c r="G318" s="12" t="s">
        <v>60</v>
      </c>
      <c r="H318" s="6"/>
      <c r="I318" s="12" t="s">
        <v>610</v>
      </c>
      <c r="J318" s="6"/>
      <c r="K318" s="6"/>
      <c r="L318" s="12" t="s">
        <v>833</v>
      </c>
      <c r="M318" s="6"/>
      <c r="N318" s="6"/>
      <c r="O318" s="6"/>
      <c r="P318" s="9"/>
      <c r="Q318" s="9"/>
      <c r="R318" s="9"/>
      <c r="S318" s="9"/>
      <c r="T318" s="9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29">
        <f>0.25*7</f>
        <v>1.75</v>
      </c>
      <c r="AL318" s="18"/>
      <c r="AM318" s="5"/>
      <c r="AN318" s="5"/>
      <c r="AO318" s="7">
        <f t="shared" si="4"/>
        <v>0</v>
      </c>
    </row>
    <row r="319" spans="1:41" s="8" customFormat="1" ht="39.950000000000003" customHeight="1" x14ac:dyDescent="0.25">
      <c r="A319" s="6"/>
      <c r="B319" s="6"/>
      <c r="C319" s="12" t="s">
        <v>101</v>
      </c>
      <c r="D319" s="12" t="s">
        <v>372</v>
      </c>
      <c r="E319" s="13">
        <v>114082525</v>
      </c>
      <c r="F319" s="14" t="s">
        <v>381</v>
      </c>
      <c r="G319" s="12" t="s">
        <v>41</v>
      </c>
      <c r="H319" s="6"/>
      <c r="I319" s="12" t="s">
        <v>706</v>
      </c>
      <c r="J319" s="6"/>
      <c r="K319" s="6"/>
      <c r="L319" s="12" t="s">
        <v>834</v>
      </c>
      <c r="M319" s="6"/>
      <c r="N319" s="6"/>
      <c r="O319" s="6"/>
      <c r="P319" s="9"/>
      <c r="Q319" s="9"/>
      <c r="R319" s="9"/>
      <c r="S319" s="9"/>
      <c r="T319" s="9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29">
        <v>2</v>
      </c>
      <c r="AL319" s="18"/>
      <c r="AM319" s="5"/>
      <c r="AN319" s="5"/>
      <c r="AO319" s="7">
        <f t="shared" si="4"/>
        <v>0</v>
      </c>
    </row>
    <row r="320" spans="1:41" s="8" customFormat="1" ht="39.950000000000003" customHeight="1" x14ac:dyDescent="0.25">
      <c r="A320" s="6"/>
      <c r="B320" s="6"/>
      <c r="C320" s="12" t="s">
        <v>101</v>
      </c>
      <c r="D320" s="12" t="s">
        <v>372</v>
      </c>
      <c r="E320" s="13">
        <v>114082637</v>
      </c>
      <c r="F320" s="14" t="s">
        <v>382</v>
      </c>
      <c r="G320" s="12" t="s">
        <v>41</v>
      </c>
      <c r="H320" s="6"/>
      <c r="I320" s="12" t="s">
        <v>706</v>
      </c>
      <c r="J320" s="6"/>
      <c r="K320" s="6"/>
      <c r="L320" s="12" t="s">
        <v>834</v>
      </c>
      <c r="M320" s="6"/>
      <c r="N320" s="6"/>
      <c r="O320" s="6"/>
      <c r="P320" s="9"/>
      <c r="Q320" s="9"/>
      <c r="R320" s="9"/>
      <c r="S320" s="9"/>
      <c r="T320" s="9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29">
        <f>3*7</f>
        <v>21</v>
      </c>
      <c r="AL320" s="18"/>
      <c r="AM320" s="5"/>
      <c r="AN320" s="5"/>
      <c r="AO320" s="7">
        <f t="shared" si="4"/>
        <v>0</v>
      </c>
    </row>
    <row r="321" spans="1:41" s="8" customFormat="1" ht="39.950000000000003" customHeight="1" x14ac:dyDescent="0.25">
      <c r="A321" s="6"/>
      <c r="B321" s="6"/>
      <c r="C321" s="12" t="s">
        <v>101</v>
      </c>
      <c r="D321" s="12" t="s">
        <v>103</v>
      </c>
      <c r="E321" s="13">
        <v>114090309</v>
      </c>
      <c r="F321" s="14" t="s">
        <v>68</v>
      </c>
      <c r="G321" s="12" t="s">
        <v>40</v>
      </c>
      <c r="H321" s="6"/>
      <c r="I321" s="12" t="s">
        <v>637</v>
      </c>
      <c r="J321" s="6"/>
      <c r="K321" s="6"/>
      <c r="L321" s="12" t="s">
        <v>908</v>
      </c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29">
        <f>920*7</f>
        <v>6440</v>
      </c>
      <c r="AL321" s="18"/>
      <c r="AM321" s="5"/>
      <c r="AN321" s="5"/>
      <c r="AO321" s="7">
        <f t="shared" si="4"/>
        <v>0</v>
      </c>
    </row>
    <row r="322" spans="1:41" s="8" customFormat="1" ht="39.950000000000003" customHeight="1" x14ac:dyDescent="0.25">
      <c r="A322" s="6"/>
      <c r="B322" s="6"/>
      <c r="C322" s="12" t="s">
        <v>101</v>
      </c>
      <c r="D322" s="12" t="s">
        <v>103</v>
      </c>
      <c r="E322" s="13">
        <v>114090409</v>
      </c>
      <c r="F322" s="14" t="s">
        <v>69</v>
      </c>
      <c r="G322" s="12" t="s">
        <v>40</v>
      </c>
      <c r="H322" s="6"/>
      <c r="I322" s="12" t="s">
        <v>715</v>
      </c>
      <c r="J322" s="6"/>
      <c r="K322" s="6"/>
      <c r="L322" s="12" t="s">
        <v>815</v>
      </c>
      <c r="M322" s="6"/>
      <c r="N322" s="6"/>
      <c r="O322" s="6"/>
      <c r="P322" s="9"/>
      <c r="Q322" s="9"/>
      <c r="R322" s="9"/>
      <c r="S322" s="9"/>
      <c r="T322" s="9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29">
        <f>5600*7</f>
        <v>39200</v>
      </c>
      <c r="AL322" s="18"/>
      <c r="AM322" s="5"/>
      <c r="AN322" s="5"/>
      <c r="AO322" s="7">
        <f t="shared" si="4"/>
        <v>0</v>
      </c>
    </row>
    <row r="323" spans="1:41" s="8" customFormat="1" ht="39.950000000000003" customHeight="1" x14ac:dyDescent="0.25">
      <c r="A323" s="6"/>
      <c r="B323" s="6"/>
      <c r="C323" s="12" t="s">
        <v>101</v>
      </c>
      <c r="D323" s="12" t="s">
        <v>103</v>
      </c>
      <c r="E323" s="13">
        <v>114090503</v>
      </c>
      <c r="F323" s="14" t="s">
        <v>70</v>
      </c>
      <c r="G323" s="12" t="s">
        <v>41</v>
      </c>
      <c r="H323" s="6"/>
      <c r="I323" s="12" t="s">
        <v>1135</v>
      </c>
      <c r="J323" s="6"/>
      <c r="K323" s="6"/>
      <c r="L323" s="12" t="s">
        <v>909</v>
      </c>
      <c r="M323" s="6"/>
      <c r="N323" s="6"/>
      <c r="O323" s="6"/>
      <c r="P323" s="9"/>
      <c r="Q323" s="9"/>
      <c r="R323" s="9"/>
      <c r="S323" s="9"/>
      <c r="T323" s="9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29">
        <f>990*7</f>
        <v>6930</v>
      </c>
      <c r="AL323" s="18"/>
      <c r="AM323" s="5"/>
      <c r="AN323" s="5"/>
      <c r="AO323" s="7">
        <f t="shared" si="4"/>
        <v>0</v>
      </c>
    </row>
    <row r="324" spans="1:41" s="8" customFormat="1" ht="39.950000000000003" customHeight="1" x14ac:dyDescent="0.25">
      <c r="A324" s="6"/>
      <c r="B324" s="6"/>
      <c r="C324" s="12" t="s">
        <v>101</v>
      </c>
      <c r="D324" s="12" t="s">
        <v>103</v>
      </c>
      <c r="E324" s="13">
        <v>114090515</v>
      </c>
      <c r="F324" s="14" t="s">
        <v>110</v>
      </c>
      <c r="G324" s="12" t="s">
        <v>41</v>
      </c>
      <c r="H324" s="6"/>
      <c r="I324" s="12" t="s">
        <v>716</v>
      </c>
      <c r="J324" s="6"/>
      <c r="K324" s="6"/>
      <c r="L324" s="12" t="s">
        <v>824</v>
      </c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29">
        <v>3</v>
      </c>
      <c r="AL324" s="18"/>
      <c r="AM324" s="5"/>
      <c r="AN324" s="5"/>
      <c r="AO324" s="7">
        <f t="shared" si="4"/>
        <v>0</v>
      </c>
    </row>
    <row r="325" spans="1:41" s="8" customFormat="1" ht="39.950000000000003" customHeight="1" x14ac:dyDescent="0.25">
      <c r="A325" s="6"/>
      <c r="B325" s="6"/>
      <c r="C325" s="12" t="s">
        <v>101</v>
      </c>
      <c r="D325" s="12" t="s">
        <v>103</v>
      </c>
      <c r="E325" s="13">
        <v>114090909</v>
      </c>
      <c r="F325" s="14" t="s">
        <v>71</v>
      </c>
      <c r="G325" s="12" t="s">
        <v>40</v>
      </c>
      <c r="H325" s="6"/>
      <c r="I325" s="12" t="s">
        <v>715</v>
      </c>
      <c r="J325" s="6"/>
      <c r="K325" s="6"/>
      <c r="L325" s="12" t="s">
        <v>910</v>
      </c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29">
        <f>30*7</f>
        <v>210</v>
      </c>
      <c r="AL325" s="18"/>
      <c r="AM325" s="5"/>
      <c r="AN325" s="5"/>
      <c r="AO325" s="7">
        <f t="shared" si="4"/>
        <v>0</v>
      </c>
    </row>
    <row r="326" spans="1:41" s="8" customFormat="1" ht="39.950000000000003" customHeight="1" x14ac:dyDescent="0.25">
      <c r="A326" s="6"/>
      <c r="B326" s="6"/>
      <c r="C326" s="12" t="s">
        <v>101</v>
      </c>
      <c r="D326" s="12" t="s">
        <v>103</v>
      </c>
      <c r="E326" s="13">
        <v>114091209</v>
      </c>
      <c r="F326" s="14" t="s">
        <v>72</v>
      </c>
      <c r="G326" s="12" t="s">
        <v>40</v>
      </c>
      <c r="H326" s="6"/>
      <c r="I326" s="12" t="s">
        <v>715</v>
      </c>
      <c r="J326" s="6"/>
      <c r="K326" s="6"/>
      <c r="L326" s="12" t="s">
        <v>911</v>
      </c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29">
        <f>750*7</f>
        <v>5250</v>
      </c>
      <c r="AL326" s="18"/>
      <c r="AM326" s="5"/>
      <c r="AN326" s="5"/>
      <c r="AO326" s="7">
        <f t="shared" si="4"/>
        <v>0</v>
      </c>
    </row>
    <row r="327" spans="1:41" s="8" customFormat="1" ht="39.950000000000003" customHeight="1" x14ac:dyDescent="0.25">
      <c r="A327" s="6"/>
      <c r="B327" s="6"/>
      <c r="C327" s="12" t="s">
        <v>101</v>
      </c>
      <c r="D327" s="12" t="s">
        <v>103</v>
      </c>
      <c r="E327" s="13">
        <v>114091309</v>
      </c>
      <c r="F327" s="14" t="s">
        <v>73</v>
      </c>
      <c r="G327" s="12" t="s">
        <v>40</v>
      </c>
      <c r="H327" s="6"/>
      <c r="I327" s="12" t="s">
        <v>1137</v>
      </c>
      <c r="J327" s="6"/>
      <c r="K327" s="6"/>
      <c r="L327" s="12" t="s">
        <v>912</v>
      </c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29">
        <f>7800*7</f>
        <v>54600</v>
      </c>
      <c r="AL327" s="18"/>
      <c r="AM327" s="5"/>
      <c r="AN327" s="5"/>
      <c r="AO327" s="7">
        <f t="shared" si="4"/>
        <v>0</v>
      </c>
    </row>
    <row r="328" spans="1:41" s="8" customFormat="1" ht="39.950000000000003" customHeight="1" x14ac:dyDescent="0.25">
      <c r="A328" s="6"/>
      <c r="B328" s="6"/>
      <c r="C328" s="12" t="s">
        <v>101</v>
      </c>
      <c r="D328" s="12" t="s">
        <v>103</v>
      </c>
      <c r="E328" s="13">
        <v>114091402</v>
      </c>
      <c r="F328" s="14" t="s">
        <v>74</v>
      </c>
      <c r="G328" s="12" t="s">
        <v>83</v>
      </c>
      <c r="H328" s="6"/>
      <c r="I328" s="12" t="s">
        <v>1136</v>
      </c>
      <c r="J328" s="6"/>
      <c r="K328" s="6"/>
      <c r="L328" s="12" t="s">
        <v>913</v>
      </c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29">
        <f>120*7</f>
        <v>840</v>
      </c>
      <c r="AL328" s="18"/>
      <c r="AM328" s="5"/>
      <c r="AN328" s="5"/>
      <c r="AO328" s="7">
        <f t="shared" si="4"/>
        <v>0</v>
      </c>
    </row>
    <row r="329" spans="1:41" s="8" customFormat="1" ht="39.950000000000003" customHeight="1" x14ac:dyDescent="0.25">
      <c r="A329" s="6"/>
      <c r="B329" s="6"/>
      <c r="C329" s="12" t="s">
        <v>101</v>
      </c>
      <c r="D329" s="12" t="s">
        <v>103</v>
      </c>
      <c r="E329" s="13">
        <v>114091609</v>
      </c>
      <c r="F329" s="14" t="s">
        <v>75</v>
      </c>
      <c r="G329" s="12" t="s">
        <v>40</v>
      </c>
      <c r="H329" s="6"/>
      <c r="I329" s="12" t="s">
        <v>1137</v>
      </c>
      <c r="J329" s="6"/>
      <c r="K329" s="6"/>
      <c r="L329" s="12" t="s">
        <v>914</v>
      </c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29">
        <f>4600*7</f>
        <v>32200</v>
      </c>
      <c r="AL329" s="18"/>
      <c r="AM329" s="5"/>
      <c r="AN329" s="5"/>
      <c r="AO329" s="7">
        <f t="shared" si="4"/>
        <v>0</v>
      </c>
    </row>
    <row r="330" spans="1:41" s="8" customFormat="1" ht="39.950000000000003" customHeight="1" x14ac:dyDescent="0.25">
      <c r="A330" s="6"/>
      <c r="B330" s="6"/>
      <c r="C330" s="12" t="s">
        <v>101</v>
      </c>
      <c r="D330" s="12" t="s">
        <v>372</v>
      </c>
      <c r="E330" s="23">
        <v>114092509</v>
      </c>
      <c r="F330" s="24" t="s">
        <v>383</v>
      </c>
      <c r="G330" s="12" t="s">
        <v>40</v>
      </c>
      <c r="H330" s="6"/>
      <c r="I330" s="12" t="s">
        <v>715</v>
      </c>
      <c r="J330" s="6"/>
      <c r="K330" s="6"/>
      <c r="L330" s="12" t="s">
        <v>831</v>
      </c>
      <c r="M330" s="6"/>
      <c r="N330" s="6"/>
      <c r="O330" s="6"/>
      <c r="P330" s="9"/>
      <c r="Q330" s="9"/>
      <c r="R330" s="9"/>
      <c r="S330" s="9"/>
      <c r="T330" s="9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29">
        <f>314*7</f>
        <v>2198</v>
      </c>
      <c r="AL330" s="18"/>
      <c r="AM330" s="5"/>
      <c r="AN330" s="5"/>
      <c r="AO330" s="7">
        <f t="shared" si="4"/>
        <v>0</v>
      </c>
    </row>
    <row r="331" spans="1:41" s="8" customFormat="1" ht="39.950000000000003" customHeight="1" x14ac:dyDescent="0.25">
      <c r="A331" s="6"/>
      <c r="B331" s="6"/>
      <c r="C331" s="12" t="s">
        <v>101</v>
      </c>
      <c r="D331" s="12" t="s">
        <v>372</v>
      </c>
      <c r="E331" s="23">
        <v>114092515</v>
      </c>
      <c r="F331" s="24" t="s">
        <v>384</v>
      </c>
      <c r="G331" s="12" t="s">
        <v>40</v>
      </c>
      <c r="H331" s="6"/>
      <c r="I331" s="12" t="s">
        <v>715</v>
      </c>
      <c r="J331" s="6"/>
      <c r="K331" s="6"/>
      <c r="L331" s="12" t="s">
        <v>831</v>
      </c>
      <c r="M331" s="6"/>
      <c r="N331" s="6"/>
      <c r="O331" s="6"/>
      <c r="P331" s="9"/>
      <c r="Q331" s="9"/>
      <c r="R331" s="9"/>
      <c r="S331" s="9"/>
      <c r="T331" s="9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29">
        <f>70*7</f>
        <v>490</v>
      </c>
      <c r="AL331" s="18"/>
      <c r="AM331" s="5"/>
      <c r="AN331" s="5"/>
      <c r="AO331" s="7">
        <f t="shared" si="4"/>
        <v>0</v>
      </c>
    </row>
    <row r="332" spans="1:41" s="8" customFormat="1" ht="39.950000000000003" customHeight="1" x14ac:dyDescent="0.25">
      <c r="A332" s="6"/>
      <c r="B332" s="6"/>
      <c r="C332" s="12" t="s">
        <v>101</v>
      </c>
      <c r="D332" s="12" t="s">
        <v>372</v>
      </c>
      <c r="E332" s="13">
        <v>114092550</v>
      </c>
      <c r="F332" s="14" t="s">
        <v>385</v>
      </c>
      <c r="G332" s="12" t="s">
        <v>41</v>
      </c>
      <c r="H332" s="6"/>
      <c r="I332" s="12" t="s">
        <v>706</v>
      </c>
      <c r="J332" s="6"/>
      <c r="K332" s="6"/>
      <c r="L332" s="12" t="s">
        <v>835</v>
      </c>
      <c r="M332" s="6"/>
      <c r="N332" s="6"/>
      <c r="O332" s="6"/>
      <c r="P332" s="9"/>
      <c r="Q332" s="9"/>
      <c r="R332" s="9"/>
      <c r="S332" s="9"/>
      <c r="T332" s="9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29">
        <f>18*7</f>
        <v>126</v>
      </c>
      <c r="AL332" s="18"/>
      <c r="AM332" s="5"/>
      <c r="AN332" s="5"/>
      <c r="AO332" s="7">
        <f t="shared" si="4"/>
        <v>0</v>
      </c>
    </row>
    <row r="333" spans="1:41" s="8" customFormat="1" ht="39.950000000000003" customHeight="1" x14ac:dyDescent="0.25">
      <c r="A333" s="6"/>
      <c r="B333" s="6"/>
      <c r="C333" s="12" t="s">
        <v>101</v>
      </c>
      <c r="D333" s="12" t="s">
        <v>102</v>
      </c>
      <c r="E333" s="13">
        <v>114100309</v>
      </c>
      <c r="F333" s="14" t="s">
        <v>159</v>
      </c>
      <c r="G333" s="12" t="s">
        <v>40</v>
      </c>
      <c r="H333" s="6"/>
      <c r="I333" s="12" t="s">
        <v>596</v>
      </c>
      <c r="J333" s="6"/>
      <c r="K333" s="6"/>
      <c r="L333" s="12" t="s">
        <v>743</v>
      </c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29">
        <f>112083*7</f>
        <v>784581</v>
      </c>
      <c r="AL333" s="18"/>
      <c r="AM333" s="5"/>
      <c r="AN333" s="5"/>
      <c r="AO333" s="7">
        <f t="shared" si="4"/>
        <v>0</v>
      </c>
    </row>
    <row r="334" spans="1:41" s="8" customFormat="1" ht="39.950000000000003" customHeight="1" x14ac:dyDescent="0.25">
      <c r="A334" s="6"/>
      <c r="B334" s="6"/>
      <c r="C334" s="12" t="s">
        <v>101</v>
      </c>
      <c r="D334" s="12" t="s">
        <v>102</v>
      </c>
      <c r="E334" s="13">
        <v>114100409</v>
      </c>
      <c r="F334" s="14" t="s">
        <v>130</v>
      </c>
      <c r="G334" s="12" t="s">
        <v>40</v>
      </c>
      <c r="H334" s="6"/>
      <c r="I334" s="12" t="s">
        <v>597</v>
      </c>
      <c r="J334" s="6"/>
      <c r="K334" s="6"/>
      <c r="L334" s="12" t="s">
        <v>727</v>
      </c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29">
        <f>32423*7</f>
        <v>226961</v>
      </c>
      <c r="AL334" s="18"/>
      <c r="AM334" s="5"/>
      <c r="AN334" s="5"/>
      <c r="AO334" s="7">
        <f t="shared" si="4"/>
        <v>0</v>
      </c>
    </row>
    <row r="335" spans="1:41" s="8" customFormat="1" ht="39.950000000000003" customHeight="1" x14ac:dyDescent="0.25">
      <c r="A335" s="6"/>
      <c r="B335" s="6"/>
      <c r="C335" s="12" t="s">
        <v>101</v>
      </c>
      <c r="D335" s="12" t="s">
        <v>102</v>
      </c>
      <c r="E335" s="13">
        <v>114100809</v>
      </c>
      <c r="F335" s="14" t="s">
        <v>146</v>
      </c>
      <c r="G335" s="25" t="s">
        <v>38</v>
      </c>
      <c r="H335" s="6"/>
      <c r="I335" s="12" t="s">
        <v>1138</v>
      </c>
      <c r="J335" s="6"/>
      <c r="K335" s="6"/>
      <c r="L335" s="12" t="s">
        <v>727</v>
      </c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29">
        <f>112097*7</f>
        <v>784679</v>
      </c>
      <c r="AL335" s="18"/>
      <c r="AM335" s="5"/>
      <c r="AN335" s="5"/>
      <c r="AO335" s="7">
        <f t="shared" si="4"/>
        <v>0</v>
      </c>
    </row>
    <row r="336" spans="1:41" s="8" customFormat="1" ht="39.950000000000003" customHeight="1" x14ac:dyDescent="0.25">
      <c r="A336" s="6"/>
      <c r="B336" s="6"/>
      <c r="C336" s="12" t="s">
        <v>101</v>
      </c>
      <c r="D336" s="12" t="s">
        <v>102</v>
      </c>
      <c r="E336" s="13">
        <v>114100824</v>
      </c>
      <c r="F336" s="14" t="s">
        <v>205</v>
      </c>
      <c r="G336" s="12" t="s">
        <v>60</v>
      </c>
      <c r="H336" s="6"/>
      <c r="I336" s="12" t="s">
        <v>641</v>
      </c>
      <c r="J336" s="6"/>
      <c r="K336" s="6"/>
      <c r="L336" s="12" t="s">
        <v>752</v>
      </c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29">
        <f>232*7</f>
        <v>1624</v>
      </c>
      <c r="AL336" s="18"/>
      <c r="AM336" s="5"/>
      <c r="AN336" s="5"/>
      <c r="AO336" s="7">
        <f t="shared" si="4"/>
        <v>0</v>
      </c>
    </row>
    <row r="337" spans="1:41" s="8" customFormat="1" ht="39.950000000000003" customHeight="1" x14ac:dyDescent="0.25">
      <c r="A337" s="6"/>
      <c r="B337" s="6"/>
      <c r="C337" s="12" t="s">
        <v>101</v>
      </c>
      <c r="D337" s="12" t="s">
        <v>102</v>
      </c>
      <c r="E337" s="13">
        <v>114101109</v>
      </c>
      <c r="F337" s="14" t="s">
        <v>207</v>
      </c>
      <c r="G337" s="12" t="s">
        <v>40</v>
      </c>
      <c r="H337" s="6"/>
      <c r="I337" s="12" t="s">
        <v>596</v>
      </c>
      <c r="J337" s="6"/>
      <c r="K337" s="6"/>
      <c r="L337" s="12" t="s">
        <v>736</v>
      </c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29">
        <f>6338*7</f>
        <v>44366</v>
      </c>
      <c r="AL337" s="18"/>
      <c r="AM337" s="5"/>
      <c r="AN337" s="5"/>
      <c r="AO337" s="7">
        <f t="shared" si="4"/>
        <v>0</v>
      </c>
    </row>
    <row r="338" spans="1:41" s="8" customFormat="1" ht="39.950000000000003" customHeight="1" x14ac:dyDescent="0.25">
      <c r="A338" s="6"/>
      <c r="B338" s="6"/>
      <c r="C338" s="12" t="s">
        <v>101</v>
      </c>
      <c r="D338" s="12" t="s">
        <v>102</v>
      </c>
      <c r="E338" s="13">
        <v>114101209</v>
      </c>
      <c r="F338" s="14" t="s">
        <v>131</v>
      </c>
      <c r="G338" s="12" t="s">
        <v>40</v>
      </c>
      <c r="H338" s="6"/>
      <c r="I338" s="12" t="s">
        <v>596</v>
      </c>
      <c r="J338" s="6"/>
      <c r="K338" s="6"/>
      <c r="L338" s="12" t="s">
        <v>736</v>
      </c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29">
        <f>20931*7</f>
        <v>146517</v>
      </c>
      <c r="AL338" s="18"/>
      <c r="AM338" s="5"/>
      <c r="AN338" s="5"/>
      <c r="AO338" s="7">
        <f t="shared" si="4"/>
        <v>0</v>
      </c>
    </row>
    <row r="339" spans="1:41" s="8" customFormat="1" ht="39.950000000000003" customHeight="1" x14ac:dyDescent="0.25">
      <c r="A339" s="6"/>
      <c r="B339" s="6"/>
      <c r="C339" s="12" t="s">
        <v>101</v>
      </c>
      <c r="D339" s="12" t="s">
        <v>372</v>
      </c>
      <c r="E339" s="13">
        <v>114101309</v>
      </c>
      <c r="F339" s="14" t="s">
        <v>386</v>
      </c>
      <c r="G339" s="12" t="s">
        <v>40</v>
      </c>
      <c r="H339" s="6"/>
      <c r="I339" s="12" t="s">
        <v>596</v>
      </c>
      <c r="J339" s="6"/>
      <c r="K339" s="6"/>
      <c r="L339" s="12" t="s">
        <v>836</v>
      </c>
      <c r="M339" s="6"/>
      <c r="N339" s="6"/>
      <c r="O339" s="6"/>
      <c r="P339" s="9"/>
      <c r="Q339" s="9"/>
      <c r="R339" s="9"/>
      <c r="S339" s="9"/>
      <c r="T339" s="9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29">
        <f>1500*7</f>
        <v>10500</v>
      </c>
      <c r="AL339" s="18"/>
      <c r="AM339" s="5"/>
      <c r="AN339" s="5"/>
      <c r="AO339" s="7">
        <f t="shared" ref="AO339:AO402" si="5">(AM339*AN339+AM339)*AL339</f>
        <v>0</v>
      </c>
    </row>
    <row r="340" spans="1:41" s="8" customFormat="1" ht="39.950000000000003" customHeight="1" x14ac:dyDescent="0.25">
      <c r="A340" s="6"/>
      <c r="B340" s="6"/>
      <c r="C340" s="12" t="s">
        <v>101</v>
      </c>
      <c r="D340" s="12" t="s">
        <v>372</v>
      </c>
      <c r="E340" s="13">
        <v>114101315</v>
      </c>
      <c r="F340" s="14" t="s">
        <v>387</v>
      </c>
      <c r="G340" s="12" t="s">
        <v>40</v>
      </c>
      <c r="H340" s="6"/>
      <c r="I340" s="12" t="s">
        <v>596</v>
      </c>
      <c r="J340" s="6"/>
      <c r="K340" s="6"/>
      <c r="L340" s="12" t="s">
        <v>836</v>
      </c>
      <c r="M340" s="6"/>
      <c r="N340" s="6"/>
      <c r="O340" s="6"/>
      <c r="P340" s="9"/>
      <c r="Q340" s="9"/>
      <c r="R340" s="9"/>
      <c r="S340" s="9"/>
      <c r="T340" s="9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29">
        <f>38*7</f>
        <v>266</v>
      </c>
      <c r="AL340" s="18"/>
      <c r="AM340" s="5"/>
      <c r="AN340" s="5"/>
      <c r="AO340" s="7">
        <f t="shared" si="5"/>
        <v>0</v>
      </c>
    </row>
    <row r="341" spans="1:41" s="8" customFormat="1" ht="39.950000000000003" customHeight="1" x14ac:dyDescent="0.25">
      <c r="A341" s="6"/>
      <c r="B341" s="6"/>
      <c r="C341" s="12" t="s">
        <v>101</v>
      </c>
      <c r="D341" s="12" t="s">
        <v>372</v>
      </c>
      <c r="E341" s="13">
        <v>114101420</v>
      </c>
      <c r="F341" s="14" t="s">
        <v>388</v>
      </c>
      <c r="G341" s="12" t="s">
        <v>40</v>
      </c>
      <c r="H341" s="6"/>
      <c r="I341" s="12" t="s">
        <v>627</v>
      </c>
      <c r="J341" s="6"/>
      <c r="K341" s="6"/>
      <c r="L341" s="12" t="s">
        <v>837</v>
      </c>
      <c r="M341" s="6"/>
      <c r="N341" s="6"/>
      <c r="O341" s="6"/>
      <c r="P341" s="9"/>
      <c r="Q341" s="9"/>
      <c r="R341" s="9"/>
      <c r="S341" s="9"/>
      <c r="T341" s="9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29">
        <f>56*7</f>
        <v>392</v>
      </c>
      <c r="AL341" s="18"/>
      <c r="AM341" s="5"/>
      <c r="AN341" s="5"/>
      <c r="AO341" s="7">
        <f t="shared" si="5"/>
        <v>0</v>
      </c>
    </row>
    <row r="342" spans="1:41" s="8" customFormat="1" ht="39.950000000000003" customHeight="1" x14ac:dyDescent="0.25">
      <c r="A342" s="6"/>
      <c r="B342" s="6"/>
      <c r="C342" s="12" t="s">
        <v>101</v>
      </c>
      <c r="D342" s="12" t="s">
        <v>372</v>
      </c>
      <c r="E342" s="13">
        <v>114101430</v>
      </c>
      <c r="F342" s="14" t="s">
        <v>389</v>
      </c>
      <c r="G342" s="12" t="s">
        <v>40</v>
      </c>
      <c r="H342" s="6"/>
      <c r="I342" s="12" t="s">
        <v>627</v>
      </c>
      <c r="J342" s="6"/>
      <c r="K342" s="6"/>
      <c r="L342" s="12" t="s">
        <v>837</v>
      </c>
      <c r="M342" s="6"/>
      <c r="N342" s="6"/>
      <c r="O342" s="6"/>
      <c r="P342" s="9"/>
      <c r="Q342" s="9"/>
      <c r="R342" s="9"/>
      <c r="S342" s="9"/>
      <c r="T342" s="9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29">
        <f>10*7</f>
        <v>70</v>
      </c>
      <c r="AL342" s="18"/>
      <c r="AM342" s="5"/>
      <c r="AN342" s="5"/>
      <c r="AO342" s="7">
        <f t="shared" si="5"/>
        <v>0</v>
      </c>
    </row>
    <row r="343" spans="1:41" s="8" customFormat="1" ht="39.950000000000003" customHeight="1" x14ac:dyDescent="0.25">
      <c r="A343" s="6"/>
      <c r="B343" s="6"/>
      <c r="C343" s="12" t="s">
        <v>101</v>
      </c>
      <c r="D343" s="12" t="s">
        <v>372</v>
      </c>
      <c r="E343" s="13">
        <v>114101520</v>
      </c>
      <c r="F343" s="14" t="s">
        <v>390</v>
      </c>
      <c r="G343" s="12" t="s">
        <v>40</v>
      </c>
      <c r="H343" s="6"/>
      <c r="I343" s="12" t="s">
        <v>667</v>
      </c>
      <c r="J343" s="6"/>
      <c r="K343" s="6"/>
      <c r="L343" s="12" t="s">
        <v>838</v>
      </c>
      <c r="M343" s="6"/>
      <c r="N343" s="6"/>
      <c r="O343" s="6"/>
      <c r="P343" s="9"/>
      <c r="Q343" s="9"/>
      <c r="R343" s="9"/>
      <c r="S343" s="9"/>
      <c r="T343" s="9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29">
        <v>30</v>
      </c>
      <c r="AL343" s="18"/>
      <c r="AM343" s="5"/>
      <c r="AN343" s="5"/>
      <c r="AO343" s="7">
        <f t="shared" si="5"/>
        <v>0</v>
      </c>
    </row>
    <row r="344" spans="1:41" s="8" customFormat="1" ht="39.950000000000003" customHeight="1" x14ac:dyDescent="0.25">
      <c r="A344" s="6"/>
      <c r="B344" s="6"/>
      <c r="C344" s="12" t="s">
        <v>101</v>
      </c>
      <c r="D344" s="12" t="s">
        <v>102</v>
      </c>
      <c r="E344" s="13">
        <v>114110109</v>
      </c>
      <c r="F344" s="14" t="s">
        <v>127</v>
      </c>
      <c r="G344" s="12" t="s">
        <v>40</v>
      </c>
      <c r="H344" s="6"/>
      <c r="I344" s="12" t="s">
        <v>597</v>
      </c>
      <c r="J344" s="6"/>
      <c r="K344" s="6"/>
      <c r="L344" s="12" t="s">
        <v>728</v>
      </c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29">
        <f>30886*7</f>
        <v>216202</v>
      </c>
      <c r="AL344" s="18"/>
      <c r="AM344" s="5"/>
      <c r="AN344" s="5"/>
      <c r="AO344" s="7">
        <f t="shared" si="5"/>
        <v>0</v>
      </c>
    </row>
    <row r="345" spans="1:41" s="8" customFormat="1" ht="39.950000000000003" customHeight="1" x14ac:dyDescent="0.25">
      <c r="A345" s="6"/>
      <c r="B345" s="6"/>
      <c r="C345" s="12" t="s">
        <v>101</v>
      </c>
      <c r="D345" s="12" t="s">
        <v>102</v>
      </c>
      <c r="E345" s="13">
        <v>114110309</v>
      </c>
      <c r="F345" s="14" t="s">
        <v>150</v>
      </c>
      <c r="G345" s="12" t="s">
        <v>40</v>
      </c>
      <c r="H345" s="6"/>
      <c r="I345" s="12" t="s">
        <v>617</v>
      </c>
      <c r="J345" s="6"/>
      <c r="K345" s="6"/>
      <c r="L345" s="12" t="s">
        <v>727</v>
      </c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29">
        <f>15507*7</f>
        <v>108549</v>
      </c>
      <c r="AL345" s="18"/>
      <c r="AM345" s="5"/>
      <c r="AN345" s="5"/>
      <c r="AO345" s="7">
        <f t="shared" si="5"/>
        <v>0</v>
      </c>
    </row>
    <row r="346" spans="1:41" s="8" customFormat="1" ht="39.950000000000003" customHeight="1" x14ac:dyDescent="0.25">
      <c r="A346" s="6"/>
      <c r="B346" s="6"/>
      <c r="C346" s="12" t="s">
        <v>101</v>
      </c>
      <c r="D346" s="12" t="s">
        <v>102</v>
      </c>
      <c r="E346" s="13">
        <v>114110509</v>
      </c>
      <c r="F346" s="14" t="s">
        <v>147</v>
      </c>
      <c r="G346" s="12" t="s">
        <v>39</v>
      </c>
      <c r="H346" s="6"/>
      <c r="I346" s="12" t="s">
        <v>600</v>
      </c>
      <c r="J346" s="6"/>
      <c r="K346" s="6"/>
      <c r="L346" s="12" t="s">
        <v>742</v>
      </c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29">
        <f>7012*7</f>
        <v>49084</v>
      </c>
      <c r="AL346" s="18"/>
      <c r="AM346" s="5"/>
      <c r="AN346" s="5"/>
      <c r="AO346" s="7">
        <f t="shared" si="5"/>
        <v>0</v>
      </c>
    </row>
    <row r="347" spans="1:41" s="8" customFormat="1" ht="39.950000000000003" customHeight="1" x14ac:dyDescent="0.25">
      <c r="A347" s="6"/>
      <c r="B347" s="6"/>
      <c r="C347" s="12" t="s">
        <v>101</v>
      </c>
      <c r="D347" s="12" t="s">
        <v>102</v>
      </c>
      <c r="E347" s="13">
        <v>114120109</v>
      </c>
      <c r="F347" s="14" t="s">
        <v>455</v>
      </c>
      <c r="G347" s="12" t="s">
        <v>40</v>
      </c>
      <c r="H347" s="6"/>
      <c r="I347" s="12" t="s">
        <v>683</v>
      </c>
      <c r="J347" s="6"/>
      <c r="K347" s="6"/>
      <c r="L347" s="12" t="s">
        <v>853</v>
      </c>
      <c r="M347" s="6"/>
      <c r="N347" s="6"/>
      <c r="O347" s="6"/>
      <c r="P347" s="9"/>
      <c r="Q347" s="9"/>
      <c r="R347" s="9"/>
      <c r="S347" s="9"/>
      <c r="T347" s="9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29">
        <f>14618*7</f>
        <v>102326</v>
      </c>
      <c r="AL347" s="18"/>
      <c r="AM347" s="5"/>
      <c r="AN347" s="5"/>
      <c r="AO347" s="7">
        <f t="shared" si="5"/>
        <v>0</v>
      </c>
    </row>
    <row r="348" spans="1:41" s="8" customFormat="1" ht="39.950000000000003" customHeight="1" x14ac:dyDescent="0.25">
      <c r="A348" s="6"/>
      <c r="B348" s="6"/>
      <c r="C348" s="12" t="s">
        <v>101</v>
      </c>
      <c r="D348" s="12" t="s">
        <v>102</v>
      </c>
      <c r="E348" s="13">
        <v>114130109</v>
      </c>
      <c r="F348" s="14" t="s">
        <v>341</v>
      </c>
      <c r="G348" s="12" t="s">
        <v>40</v>
      </c>
      <c r="H348" s="6"/>
      <c r="I348" s="12" t="s">
        <v>662</v>
      </c>
      <c r="J348" s="6"/>
      <c r="K348" s="6"/>
      <c r="L348" s="12" t="s">
        <v>817</v>
      </c>
      <c r="M348" s="6"/>
      <c r="N348" s="6"/>
      <c r="O348" s="6"/>
      <c r="P348" s="9"/>
      <c r="Q348" s="9"/>
      <c r="R348" s="9"/>
      <c r="S348" s="9"/>
      <c r="T348" s="9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29">
        <f>42142*7</f>
        <v>294994</v>
      </c>
      <c r="AL348" s="18"/>
      <c r="AM348" s="5"/>
      <c r="AN348" s="5"/>
      <c r="AO348" s="7">
        <f t="shared" si="5"/>
        <v>0</v>
      </c>
    </row>
    <row r="349" spans="1:41" s="8" customFormat="1" ht="39.950000000000003" customHeight="1" x14ac:dyDescent="0.25">
      <c r="A349" s="6"/>
      <c r="B349" s="6"/>
      <c r="C349" s="12" t="s">
        <v>101</v>
      </c>
      <c r="D349" s="12" t="s">
        <v>102</v>
      </c>
      <c r="E349" s="13">
        <v>115000103</v>
      </c>
      <c r="F349" s="14" t="s">
        <v>269</v>
      </c>
      <c r="G349" s="12" t="s">
        <v>41</v>
      </c>
      <c r="H349" s="6"/>
      <c r="I349" s="12" t="s">
        <v>650</v>
      </c>
      <c r="J349" s="6"/>
      <c r="K349" s="6"/>
      <c r="L349" s="12" t="s">
        <v>787</v>
      </c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29">
        <f>84*7</f>
        <v>588</v>
      </c>
      <c r="AL349" s="18"/>
      <c r="AM349" s="5"/>
      <c r="AN349" s="5"/>
      <c r="AO349" s="7">
        <f t="shared" si="5"/>
        <v>0</v>
      </c>
    </row>
    <row r="350" spans="1:41" s="8" customFormat="1" ht="39.950000000000003" customHeight="1" x14ac:dyDescent="0.25">
      <c r="A350" s="6"/>
      <c r="B350" s="6"/>
      <c r="C350" s="12" t="s">
        <v>101</v>
      </c>
      <c r="D350" s="12" t="s">
        <v>102</v>
      </c>
      <c r="E350" s="13">
        <v>115000250</v>
      </c>
      <c r="F350" s="14" t="s">
        <v>76</v>
      </c>
      <c r="G350" s="12" t="s">
        <v>84</v>
      </c>
      <c r="H350" s="6"/>
      <c r="I350" s="12" t="s">
        <v>717</v>
      </c>
      <c r="J350" s="6"/>
      <c r="K350" s="6"/>
      <c r="L350" s="12" t="s">
        <v>915</v>
      </c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29">
        <f>1*7</f>
        <v>7</v>
      </c>
      <c r="AL350" s="18"/>
      <c r="AM350" s="5"/>
      <c r="AN350" s="5"/>
      <c r="AO350" s="7">
        <f t="shared" si="5"/>
        <v>0</v>
      </c>
    </row>
    <row r="351" spans="1:41" s="8" customFormat="1" ht="39.950000000000003" customHeight="1" x14ac:dyDescent="0.25">
      <c r="A351" s="6"/>
      <c r="B351" s="6"/>
      <c r="C351" s="12" t="s">
        <v>101</v>
      </c>
      <c r="D351" s="12" t="s">
        <v>102</v>
      </c>
      <c r="E351" s="13">
        <v>115000303</v>
      </c>
      <c r="F351" s="14" t="s">
        <v>265</v>
      </c>
      <c r="G351" s="12" t="s">
        <v>41</v>
      </c>
      <c r="H351" s="6"/>
      <c r="I351" s="12" t="s">
        <v>1139</v>
      </c>
      <c r="J351" s="6"/>
      <c r="K351" s="6"/>
      <c r="L351" s="12" t="s">
        <v>784</v>
      </c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29">
        <f>24.75*7</f>
        <v>173.25</v>
      </c>
      <c r="AL351" s="18"/>
      <c r="AM351" s="5"/>
      <c r="AN351" s="5"/>
      <c r="AO351" s="7">
        <f t="shared" si="5"/>
        <v>0</v>
      </c>
    </row>
    <row r="352" spans="1:41" s="8" customFormat="1" ht="39.950000000000003" customHeight="1" x14ac:dyDescent="0.25">
      <c r="A352" s="6"/>
      <c r="B352" s="6"/>
      <c r="C352" s="12" t="s">
        <v>101</v>
      </c>
      <c r="D352" s="12" t="s">
        <v>102</v>
      </c>
      <c r="E352" s="13">
        <v>116010102</v>
      </c>
      <c r="F352" s="14" t="s">
        <v>271</v>
      </c>
      <c r="G352" s="12" t="s">
        <v>58</v>
      </c>
      <c r="H352" s="6"/>
      <c r="I352" s="12" t="s">
        <v>605</v>
      </c>
      <c r="J352" s="6"/>
      <c r="K352" s="6"/>
      <c r="L352" s="12" t="s">
        <v>789</v>
      </c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29">
        <f>58*7</f>
        <v>406</v>
      </c>
      <c r="AL352" s="18"/>
      <c r="AM352" s="5"/>
      <c r="AN352" s="5"/>
      <c r="AO352" s="7">
        <f t="shared" si="5"/>
        <v>0</v>
      </c>
    </row>
    <row r="353" spans="1:41" s="8" customFormat="1" ht="39.950000000000003" customHeight="1" x14ac:dyDescent="0.25">
      <c r="A353" s="6"/>
      <c r="B353" s="6"/>
      <c r="C353" s="12" t="s">
        <v>101</v>
      </c>
      <c r="D353" s="12" t="s">
        <v>102</v>
      </c>
      <c r="E353" s="13">
        <v>116010209</v>
      </c>
      <c r="F353" s="14" t="s">
        <v>168</v>
      </c>
      <c r="G353" s="12" t="s">
        <v>40</v>
      </c>
      <c r="H353" s="6"/>
      <c r="I353" s="12" t="s">
        <v>608</v>
      </c>
      <c r="J353" s="6"/>
      <c r="K353" s="6"/>
      <c r="L353" s="12" t="s">
        <v>730</v>
      </c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29">
        <f>59600*7</f>
        <v>417200</v>
      </c>
      <c r="AL353" s="18"/>
      <c r="AM353" s="5"/>
      <c r="AN353" s="5"/>
      <c r="AO353" s="7">
        <f t="shared" si="5"/>
        <v>0</v>
      </c>
    </row>
    <row r="354" spans="1:41" s="8" customFormat="1" ht="39.950000000000003" customHeight="1" x14ac:dyDescent="0.25">
      <c r="A354" s="6"/>
      <c r="B354" s="6"/>
      <c r="C354" s="12" t="s">
        <v>101</v>
      </c>
      <c r="D354" s="12" t="s">
        <v>102</v>
      </c>
      <c r="E354" s="13">
        <v>116010210</v>
      </c>
      <c r="F354" s="14" t="s">
        <v>978</v>
      </c>
      <c r="G354" s="12" t="s">
        <v>40</v>
      </c>
      <c r="H354" s="6"/>
      <c r="I354" s="12" t="s">
        <v>613</v>
      </c>
      <c r="J354" s="6"/>
      <c r="K354" s="6"/>
      <c r="L354" s="12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29">
        <f>214*7</f>
        <v>1498</v>
      </c>
      <c r="AL354" s="18"/>
      <c r="AM354" s="5"/>
      <c r="AN354" s="5"/>
      <c r="AO354" s="7">
        <f t="shared" si="5"/>
        <v>0</v>
      </c>
    </row>
    <row r="355" spans="1:41" s="8" customFormat="1" ht="39.950000000000003" customHeight="1" x14ac:dyDescent="0.25">
      <c r="A355" s="6"/>
      <c r="B355" s="6"/>
      <c r="C355" s="12" t="s">
        <v>101</v>
      </c>
      <c r="D355" s="12" t="s">
        <v>102</v>
      </c>
      <c r="E355" s="13">
        <v>116010309</v>
      </c>
      <c r="F355" s="14" t="s">
        <v>945</v>
      </c>
      <c r="G355" s="12" t="s">
        <v>40</v>
      </c>
      <c r="H355" s="6"/>
      <c r="I355" s="12" t="s">
        <v>1140</v>
      </c>
      <c r="J355" s="6"/>
      <c r="K355" s="6"/>
      <c r="L355" s="12" t="s">
        <v>819</v>
      </c>
      <c r="M355" s="6"/>
      <c r="N355" s="6"/>
      <c r="O355" s="6"/>
      <c r="P355" s="9"/>
      <c r="Q355" s="9"/>
      <c r="R355" s="9"/>
      <c r="S355" s="9"/>
      <c r="T355" s="9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29">
        <f>70142*7</f>
        <v>490994</v>
      </c>
      <c r="AL355" s="18"/>
      <c r="AM355" s="5"/>
      <c r="AN355" s="5"/>
      <c r="AO355" s="7">
        <f t="shared" si="5"/>
        <v>0</v>
      </c>
    </row>
    <row r="356" spans="1:41" s="8" customFormat="1" ht="39.950000000000003" customHeight="1" x14ac:dyDescent="0.25">
      <c r="A356" s="6"/>
      <c r="B356" s="6"/>
      <c r="C356" s="12" t="s">
        <v>101</v>
      </c>
      <c r="D356" s="12" t="s">
        <v>102</v>
      </c>
      <c r="E356" s="13">
        <v>116010310</v>
      </c>
      <c r="F356" s="14" t="s">
        <v>979</v>
      </c>
      <c r="G356" s="12" t="s">
        <v>40</v>
      </c>
      <c r="H356" s="6"/>
      <c r="I356" s="12" t="s">
        <v>662</v>
      </c>
      <c r="J356" s="6"/>
      <c r="K356" s="6"/>
      <c r="L356" s="12"/>
      <c r="M356" s="6"/>
      <c r="N356" s="6"/>
      <c r="O356" s="6"/>
      <c r="P356" s="9"/>
      <c r="Q356" s="9"/>
      <c r="R356" s="9"/>
      <c r="S356" s="9"/>
      <c r="T356" s="9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29">
        <f>1120*7</f>
        <v>7840</v>
      </c>
      <c r="AL356" s="18"/>
      <c r="AM356" s="5"/>
      <c r="AN356" s="5"/>
      <c r="AO356" s="7">
        <f t="shared" si="5"/>
        <v>0</v>
      </c>
    </row>
    <row r="357" spans="1:41" s="8" customFormat="1" ht="39.950000000000003" customHeight="1" x14ac:dyDescent="0.25">
      <c r="A357" s="6"/>
      <c r="B357" s="6"/>
      <c r="C357" s="12" t="s">
        <v>101</v>
      </c>
      <c r="D357" s="12" t="s">
        <v>102</v>
      </c>
      <c r="E357" s="13">
        <v>116010703</v>
      </c>
      <c r="F357" s="14" t="s">
        <v>208</v>
      </c>
      <c r="G357" s="12" t="s">
        <v>41</v>
      </c>
      <c r="H357" s="6"/>
      <c r="I357" s="12" t="s">
        <v>642</v>
      </c>
      <c r="J357" s="6"/>
      <c r="K357" s="6"/>
      <c r="L357" s="12" t="s">
        <v>730</v>
      </c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29">
        <f>329*7</f>
        <v>2303</v>
      </c>
      <c r="AL357" s="18"/>
      <c r="AM357" s="5"/>
      <c r="AN357" s="5"/>
      <c r="AO357" s="7">
        <f t="shared" si="5"/>
        <v>0</v>
      </c>
    </row>
    <row r="358" spans="1:41" s="8" customFormat="1" ht="39.950000000000003" customHeight="1" x14ac:dyDescent="0.25">
      <c r="A358" s="6"/>
      <c r="B358" s="6"/>
      <c r="C358" s="12" t="s">
        <v>101</v>
      </c>
      <c r="D358" s="12" t="s">
        <v>102</v>
      </c>
      <c r="E358" s="23">
        <v>116011409</v>
      </c>
      <c r="F358" s="24" t="s">
        <v>176</v>
      </c>
      <c r="G358" s="12" t="s">
        <v>40</v>
      </c>
      <c r="H358" s="6"/>
      <c r="I358" s="12" t="s">
        <v>628</v>
      </c>
      <c r="J358" s="6"/>
      <c r="K358" s="6"/>
      <c r="L358" s="12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29">
        <f>52308*7</f>
        <v>366156</v>
      </c>
      <c r="AL358" s="18"/>
      <c r="AM358" s="5"/>
      <c r="AN358" s="5"/>
      <c r="AO358" s="7">
        <f t="shared" si="5"/>
        <v>0</v>
      </c>
    </row>
    <row r="359" spans="1:41" s="8" customFormat="1" ht="39.950000000000003" customHeight="1" x14ac:dyDescent="0.25">
      <c r="A359" s="6"/>
      <c r="B359" s="6"/>
      <c r="C359" s="12" t="s">
        <v>101</v>
      </c>
      <c r="D359" s="12" t="s">
        <v>102</v>
      </c>
      <c r="E359" s="13">
        <v>116011720</v>
      </c>
      <c r="F359" s="14" t="s">
        <v>169</v>
      </c>
      <c r="G359" s="12" t="s">
        <v>41</v>
      </c>
      <c r="H359" s="6"/>
      <c r="I359" s="12" t="s">
        <v>623</v>
      </c>
      <c r="J359" s="6"/>
      <c r="K359" s="6"/>
      <c r="L359" s="12" t="s">
        <v>748</v>
      </c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29">
        <f>4*7</f>
        <v>28</v>
      </c>
      <c r="AL359" s="18"/>
      <c r="AM359" s="5"/>
      <c r="AN359" s="5"/>
      <c r="AO359" s="7">
        <f t="shared" si="5"/>
        <v>0</v>
      </c>
    </row>
    <row r="360" spans="1:41" s="8" customFormat="1" ht="39.950000000000003" customHeight="1" x14ac:dyDescent="0.25">
      <c r="A360" s="6"/>
      <c r="B360" s="6"/>
      <c r="C360" s="12" t="s">
        <v>101</v>
      </c>
      <c r="D360" s="12" t="s">
        <v>102</v>
      </c>
      <c r="E360" s="13">
        <v>116012003</v>
      </c>
      <c r="F360" s="14" t="s">
        <v>449</v>
      </c>
      <c r="G360" s="12" t="s">
        <v>41</v>
      </c>
      <c r="H360" s="6"/>
      <c r="I360" s="12" t="s">
        <v>642</v>
      </c>
      <c r="J360" s="6"/>
      <c r="K360" s="6"/>
      <c r="L360" s="12" t="s">
        <v>854</v>
      </c>
      <c r="M360" s="6"/>
      <c r="N360" s="6"/>
      <c r="O360" s="6"/>
      <c r="P360" s="9"/>
      <c r="Q360" s="9"/>
      <c r="R360" s="9"/>
      <c r="S360" s="9"/>
      <c r="T360" s="9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29">
        <f>74*7</f>
        <v>518</v>
      </c>
      <c r="AL360" s="18"/>
      <c r="AM360" s="5"/>
      <c r="AN360" s="5"/>
      <c r="AO360" s="7">
        <f t="shared" si="5"/>
        <v>0</v>
      </c>
    </row>
    <row r="361" spans="1:41" s="8" customFormat="1" ht="39.950000000000003" customHeight="1" x14ac:dyDescent="0.25">
      <c r="A361" s="6"/>
      <c r="B361" s="6"/>
      <c r="C361" s="12" t="s">
        <v>101</v>
      </c>
      <c r="D361" s="12" t="s">
        <v>102</v>
      </c>
      <c r="E361" s="13">
        <v>116020103</v>
      </c>
      <c r="F361" s="14" t="s">
        <v>272</v>
      </c>
      <c r="G361" s="12" t="s">
        <v>63</v>
      </c>
      <c r="H361" s="6"/>
      <c r="I361" s="12" t="s">
        <v>642</v>
      </c>
      <c r="J361" s="6"/>
      <c r="K361" s="6"/>
      <c r="L361" s="12" t="s">
        <v>790</v>
      </c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29">
        <f>88.75*7</f>
        <v>621.25</v>
      </c>
      <c r="AL361" s="18"/>
      <c r="AM361" s="5"/>
      <c r="AN361" s="5"/>
      <c r="AO361" s="7">
        <f t="shared" si="5"/>
        <v>0</v>
      </c>
    </row>
    <row r="362" spans="1:41" s="8" customFormat="1" ht="39.950000000000003" customHeight="1" x14ac:dyDescent="0.25">
      <c r="A362" s="6"/>
      <c r="B362" s="6"/>
      <c r="C362" s="12" t="s">
        <v>101</v>
      </c>
      <c r="D362" s="12" t="s">
        <v>102</v>
      </c>
      <c r="E362" s="23">
        <v>116020209</v>
      </c>
      <c r="F362" s="24" t="s">
        <v>1141</v>
      </c>
      <c r="G362" s="12" t="s">
        <v>40</v>
      </c>
      <c r="H362" s="6"/>
      <c r="I362" s="12" t="s">
        <v>635</v>
      </c>
      <c r="J362" s="6"/>
      <c r="K362" s="6"/>
      <c r="L362" s="12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29">
        <f>19994*7</f>
        <v>139958</v>
      </c>
      <c r="AL362" s="18"/>
      <c r="AM362" s="5"/>
      <c r="AN362" s="5"/>
      <c r="AO362" s="7">
        <f t="shared" si="5"/>
        <v>0</v>
      </c>
    </row>
    <row r="363" spans="1:41" s="8" customFormat="1" ht="39.950000000000003" customHeight="1" x14ac:dyDescent="0.25">
      <c r="A363" s="6"/>
      <c r="B363" s="6"/>
      <c r="C363" s="12" t="s">
        <v>101</v>
      </c>
      <c r="D363" s="12" t="s">
        <v>102</v>
      </c>
      <c r="E363" s="13">
        <v>116020210</v>
      </c>
      <c r="F363" s="14" t="s">
        <v>980</v>
      </c>
      <c r="G363" s="12" t="s">
        <v>40</v>
      </c>
      <c r="H363" s="6"/>
      <c r="I363" s="12"/>
      <c r="J363" s="6"/>
      <c r="K363" s="6"/>
      <c r="L363" s="12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29">
        <f>300*7</f>
        <v>2100</v>
      </c>
      <c r="AL363" s="18"/>
      <c r="AM363" s="5"/>
      <c r="AN363" s="5"/>
      <c r="AO363" s="7">
        <f t="shared" si="5"/>
        <v>0</v>
      </c>
    </row>
    <row r="364" spans="1:41" s="8" customFormat="1" ht="39.950000000000003" customHeight="1" x14ac:dyDescent="0.25">
      <c r="A364" s="6"/>
      <c r="B364" s="6"/>
      <c r="C364" s="12" t="s">
        <v>101</v>
      </c>
      <c r="D364" s="12" t="s">
        <v>217</v>
      </c>
      <c r="E364" s="13">
        <v>116020440</v>
      </c>
      <c r="F364" s="14" t="s">
        <v>218</v>
      </c>
      <c r="G364" s="12" t="s">
        <v>219</v>
      </c>
      <c r="H364" s="6"/>
      <c r="I364" s="12" t="s">
        <v>645</v>
      </c>
      <c r="J364" s="6"/>
      <c r="K364" s="6"/>
      <c r="L364" s="12" t="s">
        <v>748</v>
      </c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29">
        <f>4511*7</f>
        <v>31577</v>
      </c>
      <c r="AL364" s="18"/>
      <c r="AM364" s="5"/>
      <c r="AN364" s="5"/>
      <c r="AO364" s="7">
        <f t="shared" si="5"/>
        <v>0</v>
      </c>
    </row>
    <row r="365" spans="1:41" s="8" customFormat="1" ht="39.950000000000003" customHeight="1" x14ac:dyDescent="0.25">
      <c r="A365" s="6"/>
      <c r="B365" s="6"/>
      <c r="C365" s="12" t="s">
        <v>101</v>
      </c>
      <c r="D365" s="12" t="s">
        <v>217</v>
      </c>
      <c r="E365" s="13">
        <v>116020460</v>
      </c>
      <c r="F365" s="14" t="s">
        <v>220</v>
      </c>
      <c r="G365" s="12" t="s">
        <v>219</v>
      </c>
      <c r="H365" s="6"/>
      <c r="I365" s="12" t="s">
        <v>645</v>
      </c>
      <c r="J365" s="6"/>
      <c r="K365" s="6"/>
      <c r="L365" s="12" t="s">
        <v>748</v>
      </c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29">
        <f>1633*7</f>
        <v>11431</v>
      </c>
      <c r="AL365" s="18"/>
      <c r="AM365" s="5"/>
      <c r="AN365" s="5"/>
      <c r="AO365" s="7">
        <f t="shared" si="5"/>
        <v>0</v>
      </c>
    </row>
    <row r="366" spans="1:41" s="8" customFormat="1" ht="39.950000000000003" customHeight="1" x14ac:dyDescent="0.25">
      <c r="A366" s="6"/>
      <c r="B366" s="6"/>
      <c r="C366" s="12" t="s">
        <v>101</v>
      </c>
      <c r="D366" s="12" t="s">
        <v>102</v>
      </c>
      <c r="E366" s="13">
        <v>116020809</v>
      </c>
      <c r="F366" s="14" t="s">
        <v>299</v>
      </c>
      <c r="G366" s="12" t="s">
        <v>39</v>
      </c>
      <c r="H366" s="6"/>
      <c r="I366" s="12" t="s">
        <v>1103</v>
      </c>
      <c r="J366" s="6"/>
      <c r="K366" s="6"/>
      <c r="L366" s="12" t="s">
        <v>805</v>
      </c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29">
        <f>22439*7</f>
        <v>157073</v>
      </c>
      <c r="AL366" s="18"/>
      <c r="AM366" s="5"/>
      <c r="AN366" s="5"/>
      <c r="AO366" s="7">
        <f t="shared" si="5"/>
        <v>0</v>
      </c>
    </row>
    <row r="367" spans="1:41" s="8" customFormat="1" ht="39.950000000000003" customHeight="1" x14ac:dyDescent="0.25">
      <c r="A367" s="6"/>
      <c r="B367" s="6"/>
      <c r="C367" s="12" t="s">
        <v>101</v>
      </c>
      <c r="D367" s="12" t="s">
        <v>102</v>
      </c>
      <c r="E367" s="23">
        <v>116030103</v>
      </c>
      <c r="F367" s="24" t="s">
        <v>285</v>
      </c>
      <c r="G367" s="12" t="s">
        <v>41</v>
      </c>
      <c r="H367" s="6"/>
      <c r="I367" s="12" t="s">
        <v>603</v>
      </c>
      <c r="J367" s="6"/>
      <c r="K367" s="6"/>
      <c r="L367" s="12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29">
        <f>381*7</f>
        <v>2667</v>
      </c>
      <c r="AL367" s="18"/>
      <c r="AM367" s="5"/>
      <c r="AN367" s="5"/>
      <c r="AO367" s="7">
        <f t="shared" si="5"/>
        <v>0</v>
      </c>
    </row>
    <row r="368" spans="1:41" s="8" customFormat="1" ht="39.950000000000003" customHeight="1" x14ac:dyDescent="0.25">
      <c r="A368" s="6"/>
      <c r="B368" s="6"/>
      <c r="C368" s="12" t="s">
        <v>101</v>
      </c>
      <c r="D368" s="12" t="s">
        <v>102</v>
      </c>
      <c r="E368" s="13">
        <v>116030203</v>
      </c>
      <c r="F368" s="14" t="s">
        <v>981</v>
      </c>
      <c r="G368" s="12" t="s">
        <v>41</v>
      </c>
      <c r="H368" s="6"/>
      <c r="I368" s="12" t="s">
        <v>603</v>
      </c>
      <c r="J368" s="6"/>
      <c r="K368" s="6"/>
      <c r="L368" s="12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29">
        <f>60</f>
        <v>60</v>
      </c>
      <c r="AL368" s="18"/>
      <c r="AM368" s="5"/>
      <c r="AN368" s="5"/>
      <c r="AO368" s="7">
        <f t="shared" si="5"/>
        <v>0</v>
      </c>
    </row>
    <row r="369" spans="1:41" s="8" customFormat="1" ht="39.950000000000003" customHeight="1" x14ac:dyDescent="0.25">
      <c r="A369" s="6"/>
      <c r="B369" s="6"/>
      <c r="C369" s="12" t="s">
        <v>101</v>
      </c>
      <c r="D369" s="12" t="s">
        <v>102</v>
      </c>
      <c r="E369" s="13">
        <v>116030803</v>
      </c>
      <c r="F369" s="14" t="s">
        <v>291</v>
      </c>
      <c r="G369" s="12" t="s">
        <v>41</v>
      </c>
      <c r="H369" s="6"/>
      <c r="I369" s="12" t="s">
        <v>650</v>
      </c>
      <c r="J369" s="6"/>
      <c r="K369" s="6"/>
      <c r="L369" s="12" t="s">
        <v>801</v>
      </c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29">
        <f>364*7</f>
        <v>2548</v>
      </c>
      <c r="AL369" s="18"/>
      <c r="AM369" s="5"/>
      <c r="AN369" s="5"/>
      <c r="AO369" s="7">
        <f t="shared" si="5"/>
        <v>0</v>
      </c>
    </row>
    <row r="370" spans="1:41" s="8" customFormat="1" ht="39.950000000000003" customHeight="1" x14ac:dyDescent="0.25">
      <c r="A370" s="6"/>
      <c r="B370" s="6"/>
      <c r="C370" s="12" t="s">
        <v>101</v>
      </c>
      <c r="D370" s="12" t="s">
        <v>102</v>
      </c>
      <c r="E370" s="13">
        <v>116040107</v>
      </c>
      <c r="F370" s="14" t="s">
        <v>277</v>
      </c>
      <c r="G370" s="12" t="s">
        <v>58</v>
      </c>
      <c r="H370" s="6"/>
      <c r="I370" s="12" t="s">
        <v>1142</v>
      </c>
      <c r="J370" s="6"/>
      <c r="K370" s="6"/>
      <c r="L370" s="12" t="s">
        <v>793</v>
      </c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29">
        <v>20</v>
      </c>
      <c r="AL370" s="18"/>
      <c r="AM370" s="5"/>
      <c r="AN370" s="5"/>
      <c r="AO370" s="7">
        <f t="shared" si="5"/>
        <v>0</v>
      </c>
    </row>
    <row r="371" spans="1:41" s="8" customFormat="1" ht="39.950000000000003" customHeight="1" x14ac:dyDescent="0.25">
      <c r="A371" s="6"/>
      <c r="B371" s="6"/>
      <c r="C371" s="12" t="s">
        <v>101</v>
      </c>
      <c r="D371" s="12" t="s">
        <v>102</v>
      </c>
      <c r="E371" s="13">
        <v>116050103</v>
      </c>
      <c r="F371" s="14" t="s">
        <v>503</v>
      </c>
      <c r="G371" s="12" t="s">
        <v>365</v>
      </c>
      <c r="H371" s="6"/>
      <c r="I371" s="12" t="s">
        <v>661</v>
      </c>
      <c r="J371" s="6"/>
      <c r="K371" s="6"/>
      <c r="L371" s="12" t="s">
        <v>870</v>
      </c>
      <c r="M371" s="6"/>
      <c r="N371" s="6"/>
      <c r="O371" s="6"/>
      <c r="P371" s="9"/>
      <c r="Q371" s="9"/>
      <c r="R371" s="9"/>
      <c r="S371" s="9"/>
      <c r="T371" s="9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29">
        <f>110*7</f>
        <v>770</v>
      </c>
      <c r="AL371" s="18"/>
      <c r="AM371" s="5"/>
      <c r="AN371" s="5"/>
      <c r="AO371" s="7">
        <f t="shared" si="5"/>
        <v>0</v>
      </c>
    </row>
    <row r="372" spans="1:41" s="8" customFormat="1" ht="39.950000000000003" customHeight="1" x14ac:dyDescent="0.25">
      <c r="A372" s="6"/>
      <c r="B372" s="6"/>
      <c r="C372" s="12" t="s">
        <v>101</v>
      </c>
      <c r="D372" s="12" t="s">
        <v>102</v>
      </c>
      <c r="E372" s="13">
        <v>117000409</v>
      </c>
      <c r="F372" s="14" t="s">
        <v>212</v>
      </c>
      <c r="G372" s="12" t="s">
        <v>40</v>
      </c>
      <c r="H372" s="6"/>
      <c r="I372" s="12" t="s">
        <v>608</v>
      </c>
      <c r="J372" s="6"/>
      <c r="K372" s="6"/>
      <c r="L372" s="12" t="s">
        <v>750</v>
      </c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29">
        <f>12553*7</f>
        <v>87871</v>
      </c>
      <c r="AL372" s="18"/>
      <c r="AM372" s="5"/>
      <c r="AN372" s="5"/>
      <c r="AO372" s="7">
        <f t="shared" si="5"/>
        <v>0</v>
      </c>
    </row>
    <row r="373" spans="1:41" s="8" customFormat="1" ht="39.950000000000003" customHeight="1" x14ac:dyDescent="0.25">
      <c r="A373" s="6"/>
      <c r="B373" s="6"/>
      <c r="C373" s="12" t="s">
        <v>101</v>
      </c>
      <c r="D373" s="12" t="s">
        <v>102</v>
      </c>
      <c r="E373" s="13">
        <v>117000503</v>
      </c>
      <c r="F373" s="14" t="s">
        <v>121</v>
      </c>
      <c r="G373" s="12" t="s">
        <v>63</v>
      </c>
      <c r="H373" s="6"/>
      <c r="I373" s="12" t="s">
        <v>601</v>
      </c>
      <c r="J373" s="6"/>
      <c r="K373" s="6"/>
      <c r="L373" s="12" t="s">
        <v>730</v>
      </c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29">
        <f>129*7</f>
        <v>903</v>
      </c>
      <c r="AL373" s="18"/>
      <c r="AM373" s="5"/>
      <c r="AN373" s="5"/>
      <c r="AO373" s="7">
        <f t="shared" si="5"/>
        <v>0</v>
      </c>
    </row>
    <row r="374" spans="1:41" s="8" customFormat="1" ht="39.950000000000003" customHeight="1" x14ac:dyDescent="0.25">
      <c r="A374" s="6"/>
      <c r="B374" s="6"/>
      <c r="C374" s="12" t="s">
        <v>101</v>
      </c>
      <c r="D374" s="12" t="s">
        <v>102</v>
      </c>
      <c r="E374" s="13">
        <v>117000809</v>
      </c>
      <c r="F374" s="14" t="s">
        <v>183</v>
      </c>
      <c r="G374" s="12" t="s">
        <v>40</v>
      </c>
      <c r="H374" s="6"/>
      <c r="I374" s="12" t="s">
        <v>608</v>
      </c>
      <c r="J374" s="6"/>
      <c r="K374" s="6"/>
      <c r="L374" s="12" t="s">
        <v>730</v>
      </c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29">
        <f>39771*7</f>
        <v>278397</v>
      </c>
      <c r="AL374" s="18"/>
      <c r="AM374" s="5"/>
      <c r="AN374" s="5"/>
      <c r="AO374" s="7">
        <f t="shared" si="5"/>
        <v>0</v>
      </c>
    </row>
    <row r="375" spans="1:41" s="8" customFormat="1" ht="39.950000000000003" customHeight="1" x14ac:dyDescent="0.25">
      <c r="A375" s="6"/>
      <c r="B375" s="6"/>
      <c r="C375" s="12" t="s">
        <v>101</v>
      </c>
      <c r="D375" s="12" t="s">
        <v>102</v>
      </c>
      <c r="E375" s="13">
        <v>117001009</v>
      </c>
      <c r="F375" s="14" t="s">
        <v>138</v>
      </c>
      <c r="G375" s="12" t="s">
        <v>38</v>
      </c>
      <c r="H375" s="6"/>
      <c r="I375" s="12" t="s">
        <v>611</v>
      </c>
      <c r="J375" s="6"/>
      <c r="K375" s="6"/>
      <c r="L375" s="12" t="s">
        <v>739</v>
      </c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29">
        <f>206*7</f>
        <v>1442</v>
      </c>
      <c r="AL375" s="18"/>
      <c r="AM375" s="5"/>
      <c r="AN375" s="5"/>
      <c r="AO375" s="7">
        <f t="shared" si="5"/>
        <v>0</v>
      </c>
    </row>
    <row r="376" spans="1:41" s="8" customFormat="1" ht="39.950000000000003" customHeight="1" x14ac:dyDescent="0.25">
      <c r="A376" s="6"/>
      <c r="B376" s="6"/>
      <c r="C376" s="12" t="s">
        <v>101</v>
      </c>
      <c r="D376" s="12" t="s">
        <v>102</v>
      </c>
      <c r="E376" s="13">
        <v>117001109</v>
      </c>
      <c r="F376" s="14" t="s">
        <v>262</v>
      </c>
      <c r="G376" s="12" t="s">
        <v>38</v>
      </c>
      <c r="H376" s="6"/>
      <c r="I376" s="12" t="s">
        <v>653</v>
      </c>
      <c r="J376" s="6"/>
      <c r="K376" s="6"/>
      <c r="L376" s="12" t="s">
        <v>782</v>
      </c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29">
        <f>2761*7</f>
        <v>19327</v>
      </c>
      <c r="AL376" s="18"/>
      <c r="AM376" s="5"/>
      <c r="AN376" s="5"/>
      <c r="AO376" s="7">
        <f t="shared" si="5"/>
        <v>0</v>
      </c>
    </row>
    <row r="377" spans="1:41" s="8" customFormat="1" ht="39.950000000000003" customHeight="1" x14ac:dyDescent="0.25">
      <c r="A377" s="6"/>
      <c r="B377" s="6"/>
      <c r="C377" s="12" t="s">
        <v>101</v>
      </c>
      <c r="D377" s="12" t="s">
        <v>102</v>
      </c>
      <c r="E377" s="13">
        <v>117001425</v>
      </c>
      <c r="F377" s="14" t="s">
        <v>259</v>
      </c>
      <c r="G377" s="12" t="s">
        <v>38</v>
      </c>
      <c r="H377" s="6"/>
      <c r="I377" s="12" t="s">
        <v>654</v>
      </c>
      <c r="J377" s="6"/>
      <c r="K377" s="6"/>
      <c r="L377" s="12" t="s">
        <v>726</v>
      </c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29">
        <f>18469*7</f>
        <v>129283</v>
      </c>
      <c r="AL377" s="18"/>
      <c r="AM377" s="5"/>
      <c r="AN377" s="5"/>
      <c r="AO377" s="7">
        <f t="shared" si="5"/>
        <v>0</v>
      </c>
    </row>
    <row r="378" spans="1:41" s="8" customFormat="1" ht="39.950000000000003" customHeight="1" x14ac:dyDescent="0.25">
      <c r="A378" s="6"/>
      <c r="B378" s="6"/>
      <c r="C378" s="12" t="s">
        <v>101</v>
      </c>
      <c r="D378" s="12" t="s">
        <v>102</v>
      </c>
      <c r="E378" s="13">
        <v>117001450</v>
      </c>
      <c r="F378" s="14" t="s">
        <v>358</v>
      </c>
      <c r="G378" s="12" t="s">
        <v>38</v>
      </c>
      <c r="H378" s="6"/>
      <c r="I378" s="12" t="s">
        <v>664</v>
      </c>
      <c r="J378" s="6"/>
      <c r="K378" s="6"/>
      <c r="L378" s="12" t="s">
        <v>825</v>
      </c>
      <c r="M378" s="6"/>
      <c r="N378" s="6"/>
      <c r="O378" s="6"/>
      <c r="P378" s="9"/>
      <c r="Q378" s="9"/>
      <c r="R378" s="9"/>
      <c r="S378" s="9"/>
      <c r="T378" s="9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29">
        <f>6786*7</f>
        <v>47502</v>
      </c>
      <c r="AL378" s="18"/>
      <c r="AM378" s="5"/>
      <c r="AN378" s="5"/>
      <c r="AO378" s="7">
        <f t="shared" si="5"/>
        <v>0</v>
      </c>
    </row>
    <row r="379" spans="1:41" s="8" customFormat="1" ht="39.950000000000003" customHeight="1" x14ac:dyDescent="0.25">
      <c r="A379" s="6"/>
      <c r="B379" s="6"/>
      <c r="C379" s="12" t="s">
        <v>101</v>
      </c>
      <c r="D379" s="12" t="s">
        <v>102</v>
      </c>
      <c r="E379" s="13">
        <v>117003010</v>
      </c>
      <c r="F379" s="14" t="s">
        <v>1143</v>
      </c>
      <c r="G379" s="12" t="s">
        <v>1144</v>
      </c>
      <c r="H379" s="6"/>
      <c r="I379" s="12" t="s">
        <v>1145</v>
      </c>
      <c r="J379" s="6"/>
      <c r="K379" s="6"/>
      <c r="L379" s="12"/>
      <c r="M379" s="6"/>
      <c r="N379" s="6"/>
      <c r="O379" s="6"/>
      <c r="P379" s="9"/>
      <c r="Q379" s="9"/>
      <c r="R379" s="9"/>
      <c r="S379" s="9"/>
      <c r="T379" s="9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29">
        <f>150*7</f>
        <v>1050</v>
      </c>
      <c r="AL379" s="18"/>
      <c r="AM379" s="5"/>
      <c r="AN379" s="5"/>
      <c r="AO379" s="7">
        <f t="shared" si="5"/>
        <v>0</v>
      </c>
    </row>
    <row r="380" spans="1:41" s="8" customFormat="1" ht="39.950000000000003" customHeight="1" x14ac:dyDescent="0.25">
      <c r="A380" s="6"/>
      <c r="B380" s="6"/>
      <c r="C380" s="12" t="s">
        <v>101</v>
      </c>
      <c r="D380" s="12" t="s">
        <v>102</v>
      </c>
      <c r="E380" s="13">
        <v>118000303</v>
      </c>
      <c r="F380" s="14" t="s">
        <v>525</v>
      </c>
      <c r="G380" s="12" t="s">
        <v>63</v>
      </c>
      <c r="H380" s="6"/>
      <c r="I380" s="12" t="s">
        <v>691</v>
      </c>
      <c r="J380" s="6"/>
      <c r="K380" s="6"/>
      <c r="L380" s="12" t="s">
        <v>877</v>
      </c>
      <c r="M380" s="6"/>
      <c r="N380" s="6"/>
      <c r="O380" s="6"/>
      <c r="P380" s="9"/>
      <c r="Q380" s="9"/>
      <c r="R380" s="9"/>
      <c r="S380" s="9"/>
      <c r="T380" s="9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29">
        <f>34*7</f>
        <v>238</v>
      </c>
      <c r="AL380" s="18"/>
      <c r="AM380" s="5"/>
      <c r="AN380" s="5"/>
      <c r="AO380" s="7">
        <f t="shared" si="5"/>
        <v>0</v>
      </c>
    </row>
    <row r="381" spans="1:41" s="8" customFormat="1" ht="39.950000000000003" customHeight="1" x14ac:dyDescent="0.25">
      <c r="A381" s="6"/>
      <c r="B381" s="6"/>
      <c r="C381" s="12" t="s">
        <v>101</v>
      </c>
      <c r="D381" s="12" t="s">
        <v>102</v>
      </c>
      <c r="E381" s="13">
        <v>118000403</v>
      </c>
      <c r="F381" s="14" t="s">
        <v>251</v>
      </c>
      <c r="G381" s="12" t="s">
        <v>41</v>
      </c>
      <c r="H381" s="6"/>
      <c r="I381" s="12" t="s">
        <v>1072</v>
      </c>
      <c r="J381" s="6"/>
      <c r="K381" s="6"/>
      <c r="L381" s="12" t="s">
        <v>748</v>
      </c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29">
        <f>583*7</f>
        <v>4081</v>
      </c>
      <c r="AL381" s="18"/>
      <c r="AM381" s="5"/>
      <c r="AN381" s="5"/>
      <c r="AO381" s="7">
        <f t="shared" si="5"/>
        <v>0</v>
      </c>
    </row>
    <row r="382" spans="1:41" s="8" customFormat="1" ht="39.950000000000003" customHeight="1" x14ac:dyDescent="0.25">
      <c r="A382" s="6"/>
      <c r="B382" s="6"/>
      <c r="C382" s="12" t="s">
        <v>101</v>
      </c>
      <c r="D382" s="12" t="s">
        <v>102</v>
      </c>
      <c r="E382" s="13">
        <v>118000803</v>
      </c>
      <c r="F382" s="14" t="s">
        <v>228</v>
      </c>
      <c r="G382" s="12" t="s">
        <v>63</v>
      </c>
      <c r="H382" s="6"/>
      <c r="I382" s="12" t="s">
        <v>649</v>
      </c>
      <c r="J382" s="6"/>
      <c r="K382" s="6"/>
      <c r="L382" s="12" t="s">
        <v>761</v>
      </c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29">
        <v>2</v>
      </c>
      <c r="AL382" s="18"/>
      <c r="AM382" s="5"/>
      <c r="AN382" s="5"/>
      <c r="AO382" s="7">
        <f t="shared" si="5"/>
        <v>0</v>
      </c>
    </row>
    <row r="383" spans="1:41" s="8" customFormat="1" ht="39.950000000000003" customHeight="1" x14ac:dyDescent="0.25">
      <c r="A383" s="6"/>
      <c r="B383" s="6"/>
      <c r="C383" s="12" t="s">
        <v>101</v>
      </c>
      <c r="D383" s="12" t="s">
        <v>102</v>
      </c>
      <c r="E383" s="13">
        <v>119012404</v>
      </c>
      <c r="F383" s="14" t="s">
        <v>562</v>
      </c>
      <c r="G383" s="12" t="s">
        <v>58</v>
      </c>
      <c r="H383" s="6"/>
      <c r="I383" s="12" t="s">
        <v>1142</v>
      </c>
      <c r="J383" s="6"/>
      <c r="K383" s="6"/>
      <c r="L383" s="12" t="s">
        <v>881</v>
      </c>
      <c r="M383" s="6"/>
      <c r="N383" s="6"/>
      <c r="O383" s="6"/>
      <c r="P383" s="9"/>
      <c r="Q383" s="9"/>
      <c r="R383" s="9"/>
      <c r="S383" s="9"/>
      <c r="T383" s="9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29">
        <f>12*7</f>
        <v>84</v>
      </c>
      <c r="AL383" s="18"/>
      <c r="AM383" s="5"/>
      <c r="AN383" s="5"/>
      <c r="AO383" s="7">
        <f t="shared" si="5"/>
        <v>0</v>
      </c>
    </row>
    <row r="384" spans="1:41" s="8" customFormat="1" ht="39.950000000000003" customHeight="1" x14ac:dyDescent="0.25">
      <c r="A384" s="6"/>
      <c r="B384" s="6"/>
      <c r="C384" s="12" t="s">
        <v>101</v>
      </c>
      <c r="D384" s="12" t="s">
        <v>102</v>
      </c>
      <c r="E384" s="13">
        <v>119013910</v>
      </c>
      <c r="F384" s="14" t="s">
        <v>560</v>
      </c>
      <c r="G384" s="12" t="s">
        <v>58</v>
      </c>
      <c r="H384" s="6"/>
      <c r="I384" s="12" t="s">
        <v>1142</v>
      </c>
      <c r="J384" s="6"/>
      <c r="K384" s="6"/>
      <c r="L384" s="12" t="s">
        <v>881</v>
      </c>
      <c r="M384" s="6"/>
      <c r="N384" s="6"/>
      <c r="O384" s="6"/>
      <c r="P384" s="9"/>
      <c r="Q384" s="9"/>
      <c r="R384" s="9"/>
      <c r="S384" s="9"/>
      <c r="T384" s="9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29">
        <f>16.25*7</f>
        <v>113.75</v>
      </c>
      <c r="AL384" s="18"/>
      <c r="AM384" s="5"/>
      <c r="AN384" s="5"/>
      <c r="AO384" s="7">
        <f t="shared" si="5"/>
        <v>0</v>
      </c>
    </row>
    <row r="385" spans="1:41" s="8" customFormat="1" ht="39.950000000000003" customHeight="1" x14ac:dyDescent="0.25">
      <c r="A385" s="6"/>
      <c r="B385" s="6"/>
      <c r="C385" s="12" t="s">
        <v>101</v>
      </c>
      <c r="D385" s="12" t="s">
        <v>102</v>
      </c>
      <c r="E385" s="13">
        <v>119031506</v>
      </c>
      <c r="F385" s="14" t="s">
        <v>177</v>
      </c>
      <c r="G385" s="12" t="s">
        <v>58</v>
      </c>
      <c r="H385" s="6"/>
      <c r="I385" s="12" t="s">
        <v>620</v>
      </c>
      <c r="J385" s="6"/>
      <c r="K385" s="6"/>
      <c r="L385" s="12" t="s">
        <v>752</v>
      </c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29">
        <f>16*7</f>
        <v>112</v>
      </c>
      <c r="AL385" s="18"/>
      <c r="AM385" s="5"/>
      <c r="AN385" s="5"/>
      <c r="AO385" s="7">
        <f t="shared" si="5"/>
        <v>0</v>
      </c>
    </row>
    <row r="386" spans="1:41" s="8" customFormat="1" ht="39.950000000000003" customHeight="1" x14ac:dyDescent="0.25">
      <c r="A386" s="6"/>
      <c r="B386" s="6"/>
      <c r="C386" s="12" t="s">
        <v>101</v>
      </c>
      <c r="D386" s="12" t="s">
        <v>102</v>
      </c>
      <c r="E386" s="13">
        <v>119031807</v>
      </c>
      <c r="F386" s="14" t="s">
        <v>1045</v>
      </c>
      <c r="G386" s="12" t="s">
        <v>58</v>
      </c>
      <c r="H386" s="6"/>
      <c r="I386" s="12" t="s">
        <v>620</v>
      </c>
      <c r="J386" s="6"/>
      <c r="K386" s="6"/>
      <c r="L386" s="12" t="s">
        <v>752</v>
      </c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29">
        <v>10</v>
      </c>
      <c r="AL386" s="18"/>
      <c r="AM386" s="5"/>
      <c r="AN386" s="5"/>
      <c r="AO386" s="7">
        <f t="shared" si="5"/>
        <v>0</v>
      </c>
    </row>
    <row r="387" spans="1:41" s="8" customFormat="1" ht="39.950000000000003" customHeight="1" x14ac:dyDescent="0.25">
      <c r="A387" s="6"/>
      <c r="B387" s="6"/>
      <c r="C387" s="12" t="s">
        <v>101</v>
      </c>
      <c r="D387" s="12" t="s">
        <v>102</v>
      </c>
      <c r="E387" s="13">
        <v>119032115</v>
      </c>
      <c r="F387" s="14" t="s">
        <v>77</v>
      </c>
      <c r="G387" s="12" t="s">
        <v>85</v>
      </c>
      <c r="H387" s="6"/>
      <c r="I387" s="12" t="s">
        <v>718</v>
      </c>
      <c r="J387" s="6"/>
      <c r="K387" s="6"/>
      <c r="L387" s="12" t="s">
        <v>916</v>
      </c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29">
        <f>14.17*7</f>
        <v>99.19</v>
      </c>
      <c r="AL387" s="18"/>
      <c r="AM387" s="5"/>
      <c r="AN387" s="5"/>
      <c r="AO387" s="7">
        <f t="shared" si="5"/>
        <v>0</v>
      </c>
    </row>
    <row r="388" spans="1:41" s="8" customFormat="1" ht="39.950000000000003" customHeight="1" x14ac:dyDescent="0.25">
      <c r="A388" s="6"/>
      <c r="B388" s="6"/>
      <c r="C388" s="12" t="s">
        <v>101</v>
      </c>
      <c r="D388" s="12" t="s">
        <v>102</v>
      </c>
      <c r="E388" s="13">
        <v>119041110</v>
      </c>
      <c r="F388" s="14" t="s">
        <v>501</v>
      </c>
      <c r="G388" s="12" t="s">
        <v>502</v>
      </c>
      <c r="H388" s="6"/>
      <c r="I388" s="12" t="s">
        <v>1146</v>
      </c>
      <c r="J388" s="6"/>
      <c r="K388" s="6"/>
      <c r="L388" s="12" t="s">
        <v>869</v>
      </c>
      <c r="M388" s="6"/>
      <c r="N388" s="6"/>
      <c r="O388" s="6"/>
      <c r="P388" s="9"/>
      <c r="Q388" s="9"/>
      <c r="R388" s="9"/>
      <c r="S388" s="9"/>
      <c r="T388" s="9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29">
        <f>3815*7</f>
        <v>26705</v>
      </c>
      <c r="AL388" s="18"/>
      <c r="AM388" s="5"/>
      <c r="AN388" s="5"/>
      <c r="AO388" s="7">
        <f t="shared" si="5"/>
        <v>0</v>
      </c>
    </row>
    <row r="389" spans="1:41" s="8" customFormat="1" ht="39.950000000000003" customHeight="1" x14ac:dyDescent="0.25">
      <c r="A389" s="6"/>
      <c r="B389" s="6"/>
      <c r="C389" s="12" t="s">
        <v>101</v>
      </c>
      <c r="D389" s="12" t="s">
        <v>102</v>
      </c>
      <c r="E389" s="13">
        <v>119041160</v>
      </c>
      <c r="F389" s="14" t="s">
        <v>278</v>
      </c>
      <c r="G389" s="12" t="s">
        <v>58</v>
      </c>
      <c r="H389" s="6"/>
      <c r="I389" s="12" t="s">
        <v>604</v>
      </c>
      <c r="J389" s="6"/>
      <c r="K389" s="6"/>
      <c r="L389" s="12" t="s">
        <v>794</v>
      </c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29">
        <f>178*7</f>
        <v>1246</v>
      </c>
      <c r="AL389" s="18"/>
      <c r="AM389" s="5"/>
      <c r="AN389" s="5"/>
      <c r="AO389" s="7">
        <f t="shared" si="5"/>
        <v>0</v>
      </c>
    </row>
    <row r="390" spans="1:41" s="8" customFormat="1" ht="39.950000000000003" customHeight="1" x14ac:dyDescent="0.25">
      <c r="A390" s="6"/>
      <c r="B390" s="6"/>
      <c r="C390" s="12" t="s">
        <v>101</v>
      </c>
      <c r="D390" s="12" t="s">
        <v>102</v>
      </c>
      <c r="E390" s="13">
        <v>119050810</v>
      </c>
      <c r="F390" s="14" t="s">
        <v>78</v>
      </c>
      <c r="G390" s="12" t="s">
        <v>86</v>
      </c>
      <c r="H390" s="6"/>
      <c r="I390" s="12" t="s">
        <v>719</v>
      </c>
      <c r="J390" s="6"/>
      <c r="K390" s="6"/>
      <c r="L390" s="12" t="s">
        <v>917</v>
      </c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29">
        <f>4.17*7</f>
        <v>29.189999999999998</v>
      </c>
      <c r="AL390" s="18"/>
      <c r="AM390" s="5"/>
      <c r="AN390" s="5"/>
      <c r="AO390" s="7">
        <f t="shared" si="5"/>
        <v>0</v>
      </c>
    </row>
    <row r="391" spans="1:41" s="8" customFormat="1" ht="39.950000000000003" customHeight="1" x14ac:dyDescent="0.25">
      <c r="A391" s="6"/>
      <c r="B391" s="6"/>
      <c r="C391" s="12" t="s">
        <v>101</v>
      </c>
      <c r="D391" s="12" t="s">
        <v>102</v>
      </c>
      <c r="E391" s="13">
        <v>119051710</v>
      </c>
      <c r="F391" s="14" t="s">
        <v>79</v>
      </c>
      <c r="G391" s="12" t="s">
        <v>86</v>
      </c>
      <c r="H391" s="6"/>
      <c r="I391" s="12" t="s">
        <v>717</v>
      </c>
      <c r="J391" s="6"/>
      <c r="K391" s="6"/>
      <c r="L391" s="12" t="s">
        <v>915</v>
      </c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29">
        <f>4*7</f>
        <v>28</v>
      </c>
      <c r="AL391" s="18"/>
      <c r="AM391" s="5"/>
      <c r="AN391" s="5"/>
      <c r="AO391" s="7">
        <f t="shared" si="5"/>
        <v>0</v>
      </c>
    </row>
    <row r="392" spans="1:41" s="8" customFormat="1" ht="39.950000000000003" customHeight="1" x14ac:dyDescent="0.25">
      <c r="A392" s="6"/>
      <c r="B392" s="6"/>
      <c r="C392" s="12" t="s">
        <v>101</v>
      </c>
      <c r="D392" s="12" t="s">
        <v>102</v>
      </c>
      <c r="E392" s="13">
        <v>119051720</v>
      </c>
      <c r="F392" s="14" t="s">
        <v>520</v>
      </c>
      <c r="G392" s="12" t="s">
        <v>84</v>
      </c>
      <c r="H392" s="6"/>
      <c r="I392" s="12" t="s">
        <v>687</v>
      </c>
      <c r="J392" s="6"/>
      <c r="K392" s="6"/>
      <c r="L392" s="12" t="s">
        <v>845</v>
      </c>
      <c r="M392" s="6"/>
      <c r="N392" s="6"/>
      <c r="O392" s="6"/>
      <c r="P392" s="9"/>
      <c r="Q392" s="9"/>
      <c r="R392" s="9"/>
      <c r="S392" s="9"/>
      <c r="T392" s="9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29">
        <f>400*7</f>
        <v>2800</v>
      </c>
      <c r="AL392" s="18"/>
      <c r="AM392" s="5"/>
      <c r="AN392" s="5"/>
      <c r="AO392" s="7">
        <f t="shared" si="5"/>
        <v>0</v>
      </c>
    </row>
    <row r="393" spans="1:41" s="8" customFormat="1" ht="39.950000000000003" customHeight="1" x14ac:dyDescent="0.25">
      <c r="A393" s="6"/>
      <c r="B393" s="6"/>
      <c r="C393" s="12" t="s">
        <v>101</v>
      </c>
      <c r="D393" s="12" t="s">
        <v>102</v>
      </c>
      <c r="E393" s="13">
        <v>119051721</v>
      </c>
      <c r="F393" s="14" t="s">
        <v>511</v>
      </c>
      <c r="G393" s="12" t="s">
        <v>84</v>
      </c>
      <c r="H393" s="6"/>
      <c r="I393" s="12" t="s">
        <v>687</v>
      </c>
      <c r="J393" s="6"/>
      <c r="K393" s="6"/>
      <c r="L393" s="12" t="s">
        <v>845</v>
      </c>
      <c r="M393" s="6"/>
      <c r="N393" s="6"/>
      <c r="O393" s="6"/>
      <c r="P393" s="9"/>
      <c r="Q393" s="9"/>
      <c r="R393" s="9"/>
      <c r="S393" s="9"/>
      <c r="T393" s="9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29">
        <f>100*7</f>
        <v>700</v>
      </c>
      <c r="AL393" s="18"/>
      <c r="AM393" s="5"/>
      <c r="AN393" s="5"/>
      <c r="AO393" s="7">
        <f t="shared" si="5"/>
        <v>0</v>
      </c>
    </row>
    <row r="394" spans="1:41" s="8" customFormat="1" ht="39.950000000000003" customHeight="1" x14ac:dyDescent="0.25">
      <c r="A394" s="6"/>
      <c r="B394" s="6"/>
      <c r="C394" s="12" t="s">
        <v>101</v>
      </c>
      <c r="D394" s="12" t="s">
        <v>102</v>
      </c>
      <c r="E394" s="23">
        <v>120010310</v>
      </c>
      <c r="F394" s="24" t="s">
        <v>303</v>
      </c>
      <c r="G394" s="12" t="s">
        <v>304</v>
      </c>
      <c r="H394" s="6"/>
      <c r="I394" s="12" t="s">
        <v>659</v>
      </c>
      <c r="J394" s="6"/>
      <c r="K394" s="6"/>
      <c r="L394" s="12" t="s">
        <v>808</v>
      </c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29">
        <f>4*7</f>
        <v>28</v>
      </c>
      <c r="AL394" s="18"/>
      <c r="AM394" s="5"/>
      <c r="AN394" s="5"/>
      <c r="AO394" s="7">
        <f t="shared" si="5"/>
        <v>0</v>
      </c>
    </row>
    <row r="395" spans="1:41" s="8" customFormat="1" ht="39.950000000000003" customHeight="1" x14ac:dyDescent="0.25">
      <c r="A395" s="6"/>
      <c r="B395" s="6"/>
      <c r="C395" s="12" t="s">
        <v>101</v>
      </c>
      <c r="D395" s="12" t="s">
        <v>102</v>
      </c>
      <c r="E395" s="13">
        <v>121000109</v>
      </c>
      <c r="F395" s="14" t="s">
        <v>363</v>
      </c>
      <c r="G395" s="12" t="s">
        <v>40</v>
      </c>
      <c r="H395" s="6"/>
      <c r="I395" s="12" t="s">
        <v>665</v>
      </c>
      <c r="J395" s="6"/>
      <c r="K395" s="6"/>
      <c r="L395" s="12" t="s">
        <v>815</v>
      </c>
      <c r="M395" s="6"/>
      <c r="N395" s="6"/>
      <c r="O395" s="6"/>
      <c r="P395" s="9"/>
      <c r="Q395" s="9"/>
      <c r="R395" s="9"/>
      <c r="S395" s="9"/>
      <c r="T395" s="9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29">
        <f>8512*7</f>
        <v>59584</v>
      </c>
      <c r="AL395" s="18"/>
      <c r="AM395" s="5"/>
      <c r="AN395" s="5"/>
      <c r="AO395" s="7">
        <f t="shared" si="5"/>
        <v>0</v>
      </c>
    </row>
    <row r="396" spans="1:41" s="8" customFormat="1" ht="39.950000000000003" customHeight="1" x14ac:dyDescent="0.25">
      <c r="A396" s="6"/>
      <c r="B396" s="6"/>
      <c r="C396" s="12" t="s">
        <v>101</v>
      </c>
      <c r="D396" s="12" t="s">
        <v>102</v>
      </c>
      <c r="E396" s="13">
        <v>121000140</v>
      </c>
      <c r="F396" s="14" t="s">
        <v>982</v>
      </c>
      <c r="G396" s="12" t="s">
        <v>40</v>
      </c>
      <c r="H396" s="6"/>
      <c r="I396" s="12" t="s">
        <v>665</v>
      </c>
      <c r="J396" s="6"/>
      <c r="K396" s="6"/>
      <c r="L396" s="12"/>
      <c r="M396" s="6"/>
      <c r="N396" s="6"/>
      <c r="O396" s="6"/>
      <c r="P396" s="9"/>
      <c r="Q396" s="9"/>
      <c r="R396" s="9"/>
      <c r="S396" s="9"/>
      <c r="T396" s="9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29">
        <f>165*7</f>
        <v>1155</v>
      </c>
      <c r="AL396" s="18"/>
      <c r="AM396" s="5"/>
      <c r="AN396" s="5"/>
      <c r="AO396" s="7">
        <f t="shared" si="5"/>
        <v>0</v>
      </c>
    </row>
    <row r="397" spans="1:41" s="8" customFormat="1" ht="39.950000000000003" customHeight="1" x14ac:dyDescent="0.25">
      <c r="A397" s="6"/>
      <c r="B397" s="6"/>
      <c r="C397" s="12" t="s">
        <v>101</v>
      </c>
      <c r="D397" s="12" t="s">
        <v>102</v>
      </c>
      <c r="E397" s="13">
        <v>121000180</v>
      </c>
      <c r="F397" s="14" t="s">
        <v>983</v>
      </c>
      <c r="G397" s="12" t="s">
        <v>40</v>
      </c>
      <c r="H397" s="6"/>
      <c r="I397" s="12" t="s">
        <v>665</v>
      </c>
      <c r="J397" s="6"/>
      <c r="K397" s="6"/>
      <c r="L397" s="12"/>
      <c r="M397" s="6"/>
      <c r="N397" s="6"/>
      <c r="O397" s="6"/>
      <c r="P397" s="9"/>
      <c r="Q397" s="9"/>
      <c r="R397" s="9"/>
      <c r="S397" s="9"/>
      <c r="T397" s="9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29">
        <f>374*7</f>
        <v>2618</v>
      </c>
      <c r="AL397" s="18"/>
      <c r="AM397" s="5"/>
      <c r="AN397" s="5"/>
      <c r="AO397" s="7">
        <f t="shared" si="5"/>
        <v>0</v>
      </c>
    </row>
    <row r="398" spans="1:41" s="8" customFormat="1" ht="39.950000000000003" customHeight="1" x14ac:dyDescent="0.25">
      <c r="A398" s="6"/>
      <c r="B398" s="6"/>
      <c r="C398" s="12" t="s">
        <v>101</v>
      </c>
      <c r="D398" s="12" t="s">
        <v>102</v>
      </c>
      <c r="E398" s="13">
        <v>121000603</v>
      </c>
      <c r="F398" s="14" t="s">
        <v>80</v>
      </c>
      <c r="G398" s="12" t="s">
        <v>41</v>
      </c>
      <c r="H398" s="6"/>
      <c r="I398" s="12" t="s">
        <v>650</v>
      </c>
      <c r="J398" s="6"/>
      <c r="K398" s="6"/>
      <c r="L398" s="12" t="s">
        <v>762</v>
      </c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29">
        <f>12*7</f>
        <v>84</v>
      </c>
      <c r="AL398" s="18"/>
      <c r="AM398" s="5"/>
      <c r="AN398" s="5"/>
      <c r="AO398" s="7">
        <f t="shared" si="5"/>
        <v>0</v>
      </c>
    </row>
    <row r="399" spans="1:41" s="8" customFormat="1" ht="39.950000000000003" customHeight="1" x14ac:dyDescent="0.25">
      <c r="A399" s="6"/>
      <c r="B399" s="6"/>
      <c r="C399" s="12" t="s">
        <v>101</v>
      </c>
      <c r="D399" s="12" t="s">
        <v>102</v>
      </c>
      <c r="E399" s="13">
        <v>121001108</v>
      </c>
      <c r="F399" s="14" t="s">
        <v>282</v>
      </c>
      <c r="G399" s="12" t="s">
        <v>58</v>
      </c>
      <c r="H399" s="6"/>
      <c r="I399" s="12" t="s">
        <v>1147</v>
      </c>
      <c r="J399" s="6"/>
      <c r="K399" s="6"/>
      <c r="L399" s="12" t="s">
        <v>765</v>
      </c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29">
        <f>3*7</f>
        <v>21</v>
      </c>
      <c r="AL399" s="18"/>
      <c r="AM399" s="5"/>
      <c r="AN399" s="5"/>
      <c r="AO399" s="7">
        <f t="shared" si="5"/>
        <v>0</v>
      </c>
    </row>
    <row r="400" spans="1:41" s="8" customFormat="1" ht="39.950000000000003" customHeight="1" x14ac:dyDescent="0.25">
      <c r="A400" s="6"/>
      <c r="B400" s="6"/>
      <c r="C400" s="12" t="s">
        <v>101</v>
      </c>
      <c r="D400" s="12" t="s">
        <v>102</v>
      </c>
      <c r="E400" s="13">
        <v>121002104</v>
      </c>
      <c r="F400" s="14" t="s">
        <v>256</v>
      </c>
      <c r="G400" s="12" t="s">
        <v>58</v>
      </c>
      <c r="H400" s="6"/>
      <c r="I400" s="12" t="s">
        <v>1147</v>
      </c>
      <c r="J400" s="6"/>
      <c r="K400" s="6"/>
      <c r="L400" s="12" t="s">
        <v>765</v>
      </c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29">
        <f>5*7</f>
        <v>35</v>
      </c>
      <c r="AL400" s="18"/>
      <c r="AM400" s="5"/>
      <c r="AN400" s="5"/>
      <c r="AO400" s="7">
        <f t="shared" si="5"/>
        <v>0</v>
      </c>
    </row>
    <row r="401" spans="1:41" s="8" customFormat="1" ht="39.950000000000003" customHeight="1" x14ac:dyDescent="0.25">
      <c r="A401" s="6"/>
      <c r="B401" s="6"/>
      <c r="C401" s="12" t="s">
        <v>101</v>
      </c>
      <c r="D401" s="12" t="s">
        <v>102</v>
      </c>
      <c r="E401" s="13">
        <v>121002603</v>
      </c>
      <c r="F401" s="14" t="s">
        <v>81</v>
      </c>
      <c r="G401" s="12" t="s">
        <v>41</v>
      </c>
      <c r="H401" s="6"/>
      <c r="I401" s="12" t="s">
        <v>656</v>
      </c>
      <c r="J401" s="6"/>
      <c r="K401" s="6"/>
      <c r="L401" s="12" t="s">
        <v>779</v>
      </c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29">
        <f>1*7</f>
        <v>7</v>
      </c>
      <c r="AL401" s="18"/>
      <c r="AM401" s="5"/>
      <c r="AN401" s="5"/>
      <c r="AO401" s="7">
        <f t="shared" si="5"/>
        <v>0</v>
      </c>
    </row>
    <row r="402" spans="1:41" s="8" customFormat="1" ht="39.950000000000003" customHeight="1" x14ac:dyDescent="0.25">
      <c r="A402" s="6"/>
      <c r="B402" s="6"/>
      <c r="C402" s="12" t="s">
        <v>101</v>
      </c>
      <c r="D402" s="12" t="s">
        <v>102</v>
      </c>
      <c r="E402" s="13">
        <v>121002980</v>
      </c>
      <c r="F402" s="14" t="s">
        <v>289</v>
      </c>
      <c r="G402" s="12" t="s">
        <v>58</v>
      </c>
      <c r="H402" s="6"/>
      <c r="I402" s="12" t="s">
        <v>1148</v>
      </c>
      <c r="J402" s="6"/>
      <c r="K402" s="6"/>
      <c r="L402" s="12" t="s">
        <v>799</v>
      </c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29">
        <f>4*7</f>
        <v>28</v>
      </c>
      <c r="AL402" s="18"/>
      <c r="AM402" s="5"/>
      <c r="AN402" s="5"/>
      <c r="AO402" s="7">
        <f t="shared" si="5"/>
        <v>0</v>
      </c>
    </row>
    <row r="403" spans="1:41" s="8" customFormat="1" ht="39.950000000000003" customHeight="1" x14ac:dyDescent="0.25">
      <c r="A403" s="6"/>
      <c r="B403" s="6"/>
      <c r="C403" s="12" t="s">
        <v>101</v>
      </c>
      <c r="D403" s="12" t="s">
        <v>102</v>
      </c>
      <c r="E403" s="13">
        <v>121002982</v>
      </c>
      <c r="F403" s="14" t="s">
        <v>454</v>
      </c>
      <c r="G403" s="12" t="s">
        <v>40</v>
      </c>
      <c r="H403" s="6"/>
      <c r="I403" s="12" t="s">
        <v>637</v>
      </c>
      <c r="J403" s="6"/>
      <c r="K403" s="6"/>
      <c r="L403" s="12" t="s">
        <v>857</v>
      </c>
      <c r="M403" s="6"/>
      <c r="N403" s="6"/>
      <c r="O403" s="6"/>
      <c r="P403" s="9"/>
      <c r="Q403" s="9"/>
      <c r="R403" s="9"/>
      <c r="S403" s="9"/>
      <c r="T403" s="9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29">
        <f>622*7</f>
        <v>4354</v>
      </c>
      <c r="AL403" s="18"/>
      <c r="AM403" s="5"/>
      <c r="AN403" s="5"/>
      <c r="AO403" s="7">
        <f t="shared" ref="AO403:AO408" si="6">(AM403*AN403+AM403)*AL403</f>
        <v>0</v>
      </c>
    </row>
    <row r="404" spans="1:41" s="8" customFormat="1" ht="39.950000000000003" customHeight="1" x14ac:dyDescent="0.25">
      <c r="A404" s="6"/>
      <c r="B404" s="6"/>
      <c r="C404" s="12" t="s">
        <v>101</v>
      </c>
      <c r="D404" s="12" t="s">
        <v>102</v>
      </c>
      <c r="E404" s="13">
        <v>121002990</v>
      </c>
      <c r="F404" s="14" t="s">
        <v>1019</v>
      </c>
      <c r="G404" s="12" t="s">
        <v>40</v>
      </c>
      <c r="H404" s="6"/>
      <c r="I404" s="12"/>
      <c r="J404" s="6"/>
      <c r="K404" s="6"/>
      <c r="L404" s="12"/>
      <c r="M404" s="6"/>
      <c r="N404" s="6"/>
      <c r="O404" s="6"/>
      <c r="P404" s="9"/>
      <c r="Q404" s="9"/>
      <c r="R404" s="9"/>
      <c r="S404" s="9"/>
      <c r="T404" s="9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29">
        <f>180*7</f>
        <v>1260</v>
      </c>
      <c r="AL404" s="18"/>
      <c r="AM404" s="5"/>
      <c r="AN404" s="5"/>
      <c r="AO404" s="7">
        <f t="shared" si="6"/>
        <v>0</v>
      </c>
    </row>
    <row r="405" spans="1:41" s="8" customFormat="1" ht="39.950000000000003" customHeight="1" x14ac:dyDescent="0.25">
      <c r="A405" s="6"/>
      <c r="B405" s="6"/>
      <c r="C405" s="12" t="s">
        <v>101</v>
      </c>
      <c r="D405" s="12" t="s">
        <v>102</v>
      </c>
      <c r="E405" s="13">
        <v>121002991</v>
      </c>
      <c r="F405" s="14" t="s">
        <v>1020</v>
      </c>
      <c r="G405" s="12" t="s">
        <v>40</v>
      </c>
      <c r="H405" s="6"/>
      <c r="I405" s="12"/>
      <c r="J405" s="6"/>
      <c r="K405" s="6"/>
      <c r="L405" s="12"/>
      <c r="M405" s="6"/>
      <c r="N405" s="6"/>
      <c r="O405" s="6"/>
      <c r="P405" s="9"/>
      <c r="Q405" s="9"/>
      <c r="R405" s="9"/>
      <c r="S405" s="9"/>
      <c r="T405" s="9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29">
        <f>180*7</f>
        <v>1260</v>
      </c>
      <c r="AL405" s="18"/>
      <c r="AM405" s="5"/>
      <c r="AN405" s="5"/>
      <c r="AO405" s="7">
        <f t="shared" si="6"/>
        <v>0</v>
      </c>
    </row>
    <row r="406" spans="1:41" s="8" customFormat="1" ht="39.950000000000003" customHeight="1" x14ac:dyDescent="0.25">
      <c r="A406" s="6"/>
      <c r="B406" s="6"/>
      <c r="C406" s="12" t="s">
        <v>101</v>
      </c>
      <c r="D406" s="12" t="s">
        <v>102</v>
      </c>
      <c r="E406" s="13">
        <v>121002992</v>
      </c>
      <c r="F406" s="14" t="s">
        <v>1021</v>
      </c>
      <c r="G406" s="12" t="s">
        <v>40</v>
      </c>
      <c r="H406" s="6"/>
      <c r="I406" s="12"/>
      <c r="J406" s="6"/>
      <c r="K406" s="6"/>
      <c r="L406" s="12"/>
      <c r="M406" s="6"/>
      <c r="N406" s="6"/>
      <c r="O406" s="6"/>
      <c r="P406" s="9"/>
      <c r="Q406" s="9"/>
      <c r="R406" s="9"/>
      <c r="S406" s="9"/>
      <c r="T406" s="9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29">
        <f>30*7</f>
        <v>210</v>
      </c>
      <c r="AL406" s="18"/>
      <c r="AM406" s="5"/>
      <c r="AN406" s="5"/>
      <c r="AO406" s="7">
        <f t="shared" si="6"/>
        <v>0</v>
      </c>
    </row>
    <row r="407" spans="1:41" s="8" customFormat="1" ht="39.950000000000003" customHeight="1" x14ac:dyDescent="0.25">
      <c r="A407" s="6"/>
      <c r="B407" s="6"/>
      <c r="C407" s="12" t="s">
        <v>101</v>
      </c>
      <c r="D407" s="12" t="s">
        <v>102</v>
      </c>
      <c r="E407" s="13">
        <v>121003009</v>
      </c>
      <c r="F407" s="14" t="s">
        <v>450</v>
      </c>
      <c r="G407" s="12" t="s">
        <v>40</v>
      </c>
      <c r="H407" s="6"/>
      <c r="I407" s="12" t="s">
        <v>637</v>
      </c>
      <c r="J407" s="6"/>
      <c r="K407" s="6"/>
      <c r="L407" s="12" t="s">
        <v>736</v>
      </c>
      <c r="M407" s="6"/>
      <c r="N407" s="6"/>
      <c r="O407" s="6"/>
      <c r="P407" s="9"/>
      <c r="Q407" s="9"/>
      <c r="R407" s="9"/>
      <c r="S407" s="9"/>
      <c r="T407" s="9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29">
        <f>626*7</f>
        <v>4382</v>
      </c>
      <c r="AL407" s="18"/>
      <c r="AM407" s="5"/>
      <c r="AN407" s="5"/>
      <c r="AO407" s="7">
        <f t="shared" si="6"/>
        <v>0</v>
      </c>
    </row>
    <row r="408" spans="1:41" s="8" customFormat="1" ht="39.950000000000003" customHeight="1" x14ac:dyDescent="0.25">
      <c r="A408" s="6"/>
      <c r="B408" s="6"/>
      <c r="C408" s="12" t="s">
        <v>101</v>
      </c>
      <c r="D408" s="12" t="s">
        <v>102</v>
      </c>
      <c r="E408" s="13">
        <v>121003109</v>
      </c>
      <c r="F408" s="14" t="s">
        <v>1149</v>
      </c>
      <c r="G408" s="12" t="s">
        <v>40</v>
      </c>
      <c r="H408" s="6"/>
      <c r="I408" s="12" t="s">
        <v>654</v>
      </c>
      <c r="J408" s="6"/>
      <c r="K408" s="6"/>
      <c r="L408" s="12" t="s">
        <v>777</v>
      </c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29">
        <f>60*7</f>
        <v>420</v>
      </c>
      <c r="AL408" s="18"/>
      <c r="AM408" s="5"/>
      <c r="AN408" s="5"/>
      <c r="AO408" s="7">
        <f t="shared" si="6"/>
        <v>0</v>
      </c>
    </row>
    <row r="409" spans="1:41" s="8" customFormat="1" ht="39.950000000000003" customHeight="1" x14ac:dyDescent="0.25">
      <c r="A409" s="6"/>
      <c r="B409" s="6"/>
      <c r="C409" s="12" t="s">
        <v>101</v>
      </c>
      <c r="D409" s="12" t="s">
        <v>102</v>
      </c>
      <c r="E409" s="13">
        <v>121003110</v>
      </c>
      <c r="F409" s="14" t="s">
        <v>1196</v>
      </c>
      <c r="G409" s="12" t="s">
        <v>60</v>
      </c>
      <c r="H409" s="6"/>
      <c r="I409" s="12" t="s">
        <v>1147</v>
      </c>
      <c r="J409" s="6"/>
      <c r="K409" s="6"/>
      <c r="L409" s="12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29">
        <f>4*7</f>
        <v>28</v>
      </c>
      <c r="AL409" s="18"/>
      <c r="AM409" s="5"/>
      <c r="AN409" s="5"/>
      <c r="AO409" s="7">
        <f>(AM409*AN409+AM409)*AL409</f>
        <v>0</v>
      </c>
    </row>
    <row r="410" spans="1:41" s="8" customFormat="1" ht="39.950000000000003" customHeight="1" x14ac:dyDescent="0.25">
      <c r="A410" s="6"/>
      <c r="B410" s="6"/>
      <c r="C410" s="12" t="s">
        <v>101</v>
      </c>
      <c r="D410" s="12" t="s">
        <v>102</v>
      </c>
      <c r="E410" s="13">
        <v>121003112</v>
      </c>
      <c r="F410" s="14" t="s">
        <v>1150</v>
      </c>
      <c r="G410" s="12" t="s">
        <v>40</v>
      </c>
      <c r="H410" s="6"/>
      <c r="I410" s="12" t="s">
        <v>654</v>
      </c>
      <c r="J410" s="6"/>
      <c r="K410" s="6"/>
      <c r="L410" s="12" t="s">
        <v>777</v>
      </c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29">
        <f>650*7</f>
        <v>4550</v>
      </c>
      <c r="AL410" s="18"/>
      <c r="AM410" s="5"/>
      <c r="AN410" s="5"/>
      <c r="AO410" s="7">
        <f t="shared" ref="AO410:AO473" si="7">(AM410*AN410+AM410)*AL410</f>
        <v>0</v>
      </c>
    </row>
    <row r="411" spans="1:41" s="8" customFormat="1" ht="39.950000000000003" customHeight="1" x14ac:dyDescent="0.25">
      <c r="A411" s="6"/>
      <c r="B411" s="6"/>
      <c r="C411" s="12" t="s">
        <v>101</v>
      </c>
      <c r="D411" s="12" t="s">
        <v>102</v>
      </c>
      <c r="E411" s="13">
        <v>121003350</v>
      </c>
      <c r="F411" s="14" t="s">
        <v>270</v>
      </c>
      <c r="G411" s="12" t="s">
        <v>58</v>
      </c>
      <c r="H411" s="6"/>
      <c r="I411" s="12" t="s">
        <v>651</v>
      </c>
      <c r="J411" s="6"/>
      <c r="K411" s="6"/>
      <c r="L411" s="12" t="s">
        <v>788</v>
      </c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29">
        <f>1*7</f>
        <v>7</v>
      </c>
      <c r="AL411" s="18"/>
      <c r="AM411" s="5"/>
      <c r="AN411" s="5"/>
      <c r="AO411" s="7">
        <f t="shared" si="7"/>
        <v>0</v>
      </c>
    </row>
    <row r="412" spans="1:41" s="8" customFormat="1" ht="39.950000000000003" customHeight="1" x14ac:dyDescent="0.25">
      <c r="A412" s="6"/>
      <c r="B412" s="6"/>
      <c r="C412" s="12" t="s">
        <v>101</v>
      </c>
      <c r="D412" s="12" t="s">
        <v>102</v>
      </c>
      <c r="E412" s="13">
        <v>122000403</v>
      </c>
      <c r="F412" s="14" t="s">
        <v>82</v>
      </c>
      <c r="G412" s="12" t="s">
        <v>63</v>
      </c>
      <c r="H412" s="6"/>
      <c r="I412" s="12" t="s">
        <v>706</v>
      </c>
      <c r="J412" s="6"/>
      <c r="K412" s="6"/>
      <c r="L412" s="12" t="s">
        <v>918</v>
      </c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29">
        <f>6*7</f>
        <v>42</v>
      </c>
      <c r="AL412" s="18"/>
      <c r="AM412" s="5"/>
      <c r="AN412" s="5"/>
      <c r="AO412" s="7">
        <f t="shared" si="7"/>
        <v>0</v>
      </c>
    </row>
    <row r="413" spans="1:41" s="8" customFormat="1" ht="39.950000000000003" customHeight="1" x14ac:dyDescent="0.25">
      <c r="A413" s="6"/>
      <c r="B413" s="6"/>
      <c r="C413" s="12" t="s">
        <v>101</v>
      </c>
      <c r="D413" s="12" t="s">
        <v>102</v>
      </c>
      <c r="E413" s="13">
        <v>122000410</v>
      </c>
      <c r="F413" s="14" t="s">
        <v>184</v>
      </c>
      <c r="G413" s="12" t="s">
        <v>84</v>
      </c>
      <c r="H413" s="6"/>
      <c r="I413" s="12" t="s">
        <v>630</v>
      </c>
      <c r="J413" s="6"/>
      <c r="K413" s="6"/>
      <c r="L413" s="12" t="s">
        <v>745</v>
      </c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29">
        <f>130*7</f>
        <v>910</v>
      </c>
      <c r="AL413" s="18"/>
      <c r="AM413" s="5"/>
      <c r="AN413" s="5"/>
      <c r="AO413" s="7">
        <f t="shared" si="7"/>
        <v>0</v>
      </c>
    </row>
    <row r="414" spans="1:41" s="8" customFormat="1" ht="39.950000000000003" customHeight="1" x14ac:dyDescent="0.25">
      <c r="A414" s="6"/>
      <c r="B414" s="6"/>
      <c r="C414" s="12" t="s">
        <v>101</v>
      </c>
      <c r="D414" s="12" t="s">
        <v>102</v>
      </c>
      <c r="E414" s="13">
        <v>122000750</v>
      </c>
      <c r="F414" s="14" t="s">
        <v>457</v>
      </c>
      <c r="G414" s="12" t="s">
        <v>40</v>
      </c>
      <c r="H414" s="6"/>
      <c r="I414" s="12" t="s">
        <v>1151</v>
      </c>
      <c r="J414" s="6"/>
      <c r="K414" s="6"/>
      <c r="L414" s="12" t="s">
        <v>858</v>
      </c>
      <c r="M414" s="6"/>
      <c r="N414" s="6"/>
      <c r="O414" s="6"/>
      <c r="P414" s="9"/>
      <c r="Q414" s="9"/>
      <c r="R414" s="9"/>
      <c r="S414" s="9"/>
      <c r="T414" s="9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29">
        <f>3404</f>
        <v>3404</v>
      </c>
      <c r="AL414" s="18"/>
      <c r="AM414" s="5"/>
      <c r="AN414" s="5"/>
      <c r="AO414" s="7">
        <f t="shared" si="7"/>
        <v>0</v>
      </c>
    </row>
    <row r="415" spans="1:41" s="8" customFormat="1" ht="39.950000000000003" customHeight="1" x14ac:dyDescent="0.25">
      <c r="A415" s="6"/>
      <c r="B415" s="6"/>
      <c r="C415" s="12" t="s">
        <v>20</v>
      </c>
      <c r="D415" s="12" t="s">
        <v>468</v>
      </c>
      <c r="E415" s="13">
        <v>201010110</v>
      </c>
      <c r="F415" s="14" t="s">
        <v>469</v>
      </c>
      <c r="G415" s="12" t="s">
        <v>94</v>
      </c>
      <c r="H415" s="6"/>
      <c r="I415" s="12" t="s">
        <v>685</v>
      </c>
      <c r="J415" s="6"/>
      <c r="K415" s="6"/>
      <c r="L415" s="12" t="s">
        <v>851</v>
      </c>
      <c r="M415" s="6"/>
      <c r="N415" s="6"/>
      <c r="O415" s="6"/>
      <c r="P415" s="9"/>
      <c r="Q415" s="9"/>
      <c r="R415" s="9"/>
      <c r="S415" s="9"/>
      <c r="T415" s="9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29">
        <f>2800*7</f>
        <v>19600</v>
      </c>
      <c r="AL415" s="18"/>
      <c r="AM415" s="5"/>
      <c r="AN415" s="5"/>
      <c r="AO415" s="7">
        <f t="shared" si="7"/>
        <v>0</v>
      </c>
    </row>
    <row r="416" spans="1:41" s="8" customFormat="1" ht="39.950000000000003" customHeight="1" x14ac:dyDescent="0.25">
      <c r="A416" s="6"/>
      <c r="B416" s="6"/>
      <c r="C416" s="12" t="s">
        <v>20</v>
      </c>
      <c r="D416" s="12" t="s">
        <v>468</v>
      </c>
      <c r="E416" s="13">
        <v>201010210</v>
      </c>
      <c r="F416" s="14" t="s">
        <v>470</v>
      </c>
      <c r="G416" s="12" t="s">
        <v>94</v>
      </c>
      <c r="H416" s="6"/>
      <c r="I416" s="12" t="s">
        <v>685</v>
      </c>
      <c r="J416" s="6"/>
      <c r="K416" s="6"/>
      <c r="L416" s="12" t="s">
        <v>851</v>
      </c>
      <c r="M416" s="6"/>
      <c r="N416" s="6"/>
      <c r="O416" s="6"/>
      <c r="P416" s="9"/>
      <c r="Q416" s="9"/>
      <c r="R416" s="9"/>
      <c r="S416" s="9"/>
      <c r="T416" s="9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29">
        <f>8200*7</f>
        <v>57400</v>
      </c>
      <c r="AL416" s="18"/>
      <c r="AM416" s="5"/>
      <c r="AN416" s="5"/>
      <c r="AO416" s="7">
        <f t="shared" si="7"/>
        <v>0</v>
      </c>
    </row>
    <row r="417" spans="1:41" s="8" customFormat="1" ht="39.950000000000003" customHeight="1" x14ac:dyDescent="0.25">
      <c r="A417" s="6"/>
      <c r="B417" s="6"/>
      <c r="C417" s="12" t="s">
        <v>20</v>
      </c>
      <c r="D417" s="12" t="s">
        <v>468</v>
      </c>
      <c r="E417" s="13">
        <v>201010310</v>
      </c>
      <c r="F417" s="14" t="s">
        <v>471</v>
      </c>
      <c r="G417" s="12" t="s">
        <v>94</v>
      </c>
      <c r="H417" s="6"/>
      <c r="I417" s="12" t="s">
        <v>685</v>
      </c>
      <c r="J417" s="6"/>
      <c r="K417" s="6"/>
      <c r="L417" s="12" t="s">
        <v>851</v>
      </c>
      <c r="M417" s="6"/>
      <c r="N417" s="6"/>
      <c r="O417" s="6"/>
      <c r="P417" s="9"/>
      <c r="Q417" s="9"/>
      <c r="R417" s="9"/>
      <c r="S417" s="9"/>
      <c r="T417" s="9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29">
        <f>700*7</f>
        <v>4900</v>
      </c>
      <c r="AL417" s="18"/>
      <c r="AM417" s="5"/>
      <c r="AN417" s="5"/>
      <c r="AO417" s="7">
        <f t="shared" si="7"/>
        <v>0</v>
      </c>
    </row>
    <row r="418" spans="1:41" s="8" customFormat="1" ht="39.950000000000003" customHeight="1" x14ac:dyDescent="0.25">
      <c r="A418" s="6"/>
      <c r="B418" s="6"/>
      <c r="C418" s="12" t="s">
        <v>20</v>
      </c>
      <c r="D418" s="12" t="s">
        <v>468</v>
      </c>
      <c r="E418" s="13">
        <v>201010410</v>
      </c>
      <c r="F418" s="14" t="s">
        <v>472</v>
      </c>
      <c r="G418" s="12" t="s">
        <v>94</v>
      </c>
      <c r="H418" s="6"/>
      <c r="I418" s="12" t="s">
        <v>685</v>
      </c>
      <c r="J418" s="6"/>
      <c r="K418" s="6"/>
      <c r="L418" s="12" t="s">
        <v>851</v>
      </c>
      <c r="M418" s="6"/>
      <c r="N418" s="6"/>
      <c r="O418" s="6"/>
      <c r="P418" s="9"/>
      <c r="Q418" s="9"/>
      <c r="R418" s="9"/>
      <c r="S418" s="9"/>
      <c r="T418" s="9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29">
        <f>1500*7</f>
        <v>10500</v>
      </c>
      <c r="AL418" s="18"/>
      <c r="AM418" s="5"/>
      <c r="AN418" s="5"/>
      <c r="AO418" s="7">
        <f t="shared" si="7"/>
        <v>0</v>
      </c>
    </row>
    <row r="419" spans="1:41" s="8" customFormat="1" ht="39.950000000000003" customHeight="1" x14ac:dyDescent="0.25">
      <c r="A419" s="6"/>
      <c r="B419" s="6"/>
      <c r="C419" s="12" t="s">
        <v>20</v>
      </c>
      <c r="D419" s="12" t="s">
        <v>468</v>
      </c>
      <c r="E419" s="13">
        <v>201010510</v>
      </c>
      <c r="F419" s="14" t="s">
        <v>473</v>
      </c>
      <c r="G419" s="12" t="s">
        <v>94</v>
      </c>
      <c r="H419" s="6"/>
      <c r="I419" s="12" t="s">
        <v>685</v>
      </c>
      <c r="J419" s="6"/>
      <c r="K419" s="6"/>
      <c r="L419" s="12" t="s">
        <v>851</v>
      </c>
      <c r="M419" s="6"/>
      <c r="N419" s="6"/>
      <c r="O419" s="6"/>
      <c r="P419" s="9"/>
      <c r="Q419" s="9"/>
      <c r="R419" s="9"/>
      <c r="S419" s="9"/>
      <c r="T419" s="9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29">
        <f>700*7</f>
        <v>4900</v>
      </c>
      <c r="AL419" s="18"/>
      <c r="AM419" s="5"/>
      <c r="AN419" s="5"/>
      <c r="AO419" s="7">
        <f t="shared" si="7"/>
        <v>0</v>
      </c>
    </row>
    <row r="420" spans="1:41" s="8" customFormat="1" ht="39.950000000000003" customHeight="1" x14ac:dyDescent="0.25">
      <c r="A420" s="6"/>
      <c r="B420" s="6"/>
      <c r="C420" s="12" t="s">
        <v>20</v>
      </c>
      <c r="D420" s="12" t="s">
        <v>468</v>
      </c>
      <c r="E420" s="13">
        <v>201010610</v>
      </c>
      <c r="F420" s="14" t="s">
        <v>474</v>
      </c>
      <c r="G420" s="12" t="s">
        <v>94</v>
      </c>
      <c r="H420" s="6"/>
      <c r="I420" s="12" t="s">
        <v>685</v>
      </c>
      <c r="J420" s="6"/>
      <c r="K420" s="6"/>
      <c r="L420" s="12" t="s">
        <v>851</v>
      </c>
      <c r="M420" s="6"/>
      <c r="N420" s="6"/>
      <c r="O420" s="6"/>
      <c r="P420" s="9"/>
      <c r="Q420" s="9"/>
      <c r="R420" s="9"/>
      <c r="S420" s="9"/>
      <c r="T420" s="9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29">
        <f>500*7</f>
        <v>3500</v>
      </c>
      <c r="AL420" s="18"/>
      <c r="AM420" s="5"/>
      <c r="AN420" s="5"/>
      <c r="AO420" s="7">
        <f t="shared" si="7"/>
        <v>0</v>
      </c>
    </row>
    <row r="421" spans="1:41" s="8" customFormat="1" ht="39.950000000000003" customHeight="1" x14ac:dyDescent="0.25">
      <c r="A421" s="6"/>
      <c r="B421" s="6"/>
      <c r="C421" s="12" t="s">
        <v>20</v>
      </c>
      <c r="D421" s="12" t="s">
        <v>419</v>
      </c>
      <c r="E421" s="13">
        <v>201010910</v>
      </c>
      <c r="F421" s="14" t="s">
        <v>420</v>
      </c>
      <c r="G421" s="12" t="s">
        <v>94</v>
      </c>
      <c r="H421" s="6"/>
      <c r="I421" s="12" t="s">
        <v>678</v>
      </c>
      <c r="J421" s="6"/>
      <c r="K421" s="6"/>
      <c r="L421" s="12" t="s">
        <v>842</v>
      </c>
      <c r="M421" s="6"/>
      <c r="N421" s="6"/>
      <c r="O421" s="6"/>
      <c r="P421" s="9"/>
      <c r="Q421" s="9"/>
      <c r="R421" s="9"/>
      <c r="S421" s="9"/>
      <c r="T421" s="9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29">
        <v>300</v>
      </c>
      <c r="AL421" s="18"/>
      <c r="AM421" s="5"/>
      <c r="AN421" s="5"/>
      <c r="AO421" s="7">
        <f t="shared" si="7"/>
        <v>0</v>
      </c>
    </row>
    <row r="422" spans="1:41" s="8" customFormat="1" ht="39.950000000000003" customHeight="1" x14ac:dyDescent="0.25">
      <c r="A422" s="6"/>
      <c r="B422" s="6"/>
      <c r="C422" s="12" t="s">
        <v>20</v>
      </c>
      <c r="D422" s="12" t="s">
        <v>104</v>
      </c>
      <c r="E422" s="23">
        <v>201011110</v>
      </c>
      <c r="F422" s="24" t="s">
        <v>1193</v>
      </c>
      <c r="G422" s="12" t="s">
        <v>21</v>
      </c>
      <c r="H422" s="6"/>
      <c r="I422" s="12" t="s">
        <v>720</v>
      </c>
      <c r="J422" s="6"/>
      <c r="K422" s="6"/>
      <c r="L422" s="12" t="s">
        <v>919</v>
      </c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29">
        <f>4*7</f>
        <v>28</v>
      </c>
      <c r="AL422" s="18"/>
      <c r="AM422" s="5"/>
      <c r="AN422" s="5"/>
      <c r="AO422" s="7">
        <f t="shared" si="7"/>
        <v>0</v>
      </c>
    </row>
    <row r="423" spans="1:41" s="8" customFormat="1" ht="39.950000000000003" customHeight="1" x14ac:dyDescent="0.25">
      <c r="A423" s="6"/>
      <c r="B423" s="6"/>
      <c r="C423" s="12" t="s">
        <v>20</v>
      </c>
      <c r="D423" s="12" t="s">
        <v>419</v>
      </c>
      <c r="E423" s="13">
        <v>201011510</v>
      </c>
      <c r="F423" s="14" t="s">
        <v>421</v>
      </c>
      <c r="G423" s="12" t="s">
        <v>94</v>
      </c>
      <c r="H423" s="6"/>
      <c r="I423" s="12" t="s">
        <v>678</v>
      </c>
      <c r="J423" s="6"/>
      <c r="K423" s="6"/>
      <c r="L423" s="12" t="s">
        <v>842</v>
      </c>
      <c r="M423" s="6"/>
      <c r="N423" s="6"/>
      <c r="O423" s="6"/>
      <c r="P423" s="9"/>
      <c r="Q423" s="9"/>
      <c r="R423" s="9"/>
      <c r="S423" s="9"/>
      <c r="T423" s="9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29">
        <f>400*7</f>
        <v>2800</v>
      </c>
      <c r="AL423" s="18"/>
      <c r="AM423" s="5"/>
      <c r="AN423" s="5"/>
      <c r="AO423" s="7">
        <f t="shared" si="7"/>
        <v>0</v>
      </c>
    </row>
    <row r="424" spans="1:41" s="8" customFormat="1" ht="39.950000000000003" customHeight="1" x14ac:dyDescent="0.25">
      <c r="A424" s="6"/>
      <c r="B424" s="6"/>
      <c r="C424" s="12" t="s">
        <v>20</v>
      </c>
      <c r="D424" s="12" t="s">
        <v>102</v>
      </c>
      <c r="E424" s="13">
        <v>201011610</v>
      </c>
      <c r="F424" s="14" t="s">
        <v>113</v>
      </c>
      <c r="G424" s="12" t="s">
        <v>94</v>
      </c>
      <c r="H424" s="6"/>
      <c r="I424" s="12" t="s">
        <v>721</v>
      </c>
      <c r="J424" s="6"/>
      <c r="K424" s="6"/>
      <c r="L424" s="12" t="s">
        <v>803</v>
      </c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29">
        <f>2*7</f>
        <v>14</v>
      </c>
      <c r="AL424" s="18"/>
      <c r="AM424" s="5"/>
      <c r="AN424" s="5"/>
      <c r="AO424" s="7">
        <f t="shared" si="7"/>
        <v>0</v>
      </c>
    </row>
    <row r="425" spans="1:41" s="8" customFormat="1" ht="39.950000000000003" customHeight="1" x14ac:dyDescent="0.25">
      <c r="A425" s="6"/>
      <c r="B425" s="6"/>
      <c r="C425" s="12" t="s">
        <v>20</v>
      </c>
      <c r="D425" s="12" t="s">
        <v>102</v>
      </c>
      <c r="E425" s="13">
        <v>201013110</v>
      </c>
      <c r="F425" s="14" t="s">
        <v>1152</v>
      </c>
      <c r="G425" s="12" t="s">
        <v>94</v>
      </c>
      <c r="H425" s="6"/>
      <c r="I425" s="12"/>
      <c r="J425" s="6"/>
      <c r="K425" s="6"/>
      <c r="L425" s="12"/>
      <c r="M425" s="6"/>
      <c r="N425" s="6"/>
      <c r="O425" s="6"/>
      <c r="P425" s="9"/>
      <c r="Q425" s="9"/>
      <c r="R425" s="9"/>
      <c r="S425" s="9"/>
      <c r="T425" s="9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29">
        <f>2*7</f>
        <v>14</v>
      </c>
      <c r="AL425" s="18"/>
      <c r="AM425" s="5"/>
      <c r="AN425" s="5"/>
      <c r="AO425" s="7">
        <f t="shared" si="7"/>
        <v>0</v>
      </c>
    </row>
    <row r="426" spans="1:41" s="8" customFormat="1" ht="39.950000000000003" customHeight="1" x14ac:dyDescent="0.25">
      <c r="A426" s="6"/>
      <c r="B426" s="6"/>
      <c r="C426" s="12" t="s">
        <v>20</v>
      </c>
      <c r="D426" s="12" t="s">
        <v>102</v>
      </c>
      <c r="E426" s="13">
        <v>201013114</v>
      </c>
      <c r="F426" s="14" t="s">
        <v>1153</v>
      </c>
      <c r="G426" s="12" t="s">
        <v>94</v>
      </c>
      <c r="H426" s="6"/>
      <c r="I426" s="12"/>
      <c r="J426" s="6"/>
      <c r="K426" s="6"/>
      <c r="L426" s="12"/>
      <c r="M426" s="6"/>
      <c r="N426" s="6"/>
      <c r="O426" s="6"/>
      <c r="P426" s="9"/>
      <c r="Q426" s="9"/>
      <c r="R426" s="9"/>
      <c r="S426" s="9"/>
      <c r="T426" s="9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29">
        <f>2*7</f>
        <v>14</v>
      </c>
      <c r="AL426" s="18"/>
      <c r="AM426" s="5"/>
      <c r="AN426" s="5"/>
      <c r="AO426" s="7">
        <f t="shared" si="7"/>
        <v>0</v>
      </c>
    </row>
    <row r="427" spans="1:41" s="8" customFormat="1" ht="39.950000000000003" customHeight="1" x14ac:dyDescent="0.25">
      <c r="A427" s="6"/>
      <c r="B427" s="6"/>
      <c r="C427" s="12" t="s">
        <v>20</v>
      </c>
      <c r="D427" s="12" t="s">
        <v>102</v>
      </c>
      <c r="E427" s="13">
        <v>201013116</v>
      </c>
      <c r="F427" s="14" t="s">
        <v>1154</v>
      </c>
      <c r="G427" s="12" t="s">
        <v>94</v>
      </c>
      <c r="H427" s="6"/>
      <c r="I427" s="12"/>
      <c r="J427" s="6"/>
      <c r="K427" s="6"/>
      <c r="L427" s="12"/>
      <c r="M427" s="6"/>
      <c r="N427" s="6"/>
      <c r="O427" s="6"/>
      <c r="P427" s="9"/>
      <c r="Q427" s="9"/>
      <c r="R427" s="9"/>
      <c r="S427" s="9"/>
      <c r="T427" s="9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29">
        <f>2*7</f>
        <v>14</v>
      </c>
      <c r="AL427" s="18"/>
      <c r="AM427" s="5"/>
      <c r="AN427" s="5"/>
      <c r="AO427" s="7">
        <f t="shared" si="7"/>
        <v>0</v>
      </c>
    </row>
    <row r="428" spans="1:41" s="8" customFormat="1" ht="39.950000000000003" customHeight="1" x14ac:dyDescent="0.25">
      <c r="A428" s="6"/>
      <c r="B428" s="6"/>
      <c r="C428" s="12" t="s">
        <v>20</v>
      </c>
      <c r="D428" s="12" t="s">
        <v>102</v>
      </c>
      <c r="E428" s="13">
        <v>201020110</v>
      </c>
      <c r="F428" s="14" t="s">
        <v>510</v>
      </c>
      <c r="G428" s="12" t="s">
        <v>94</v>
      </c>
      <c r="H428" s="6"/>
      <c r="I428" s="12" t="s">
        <v>688</v>
      </c>
      <c r="J428" s="6"/>
      <c r="K428" s="6"/>
      <c r="L428" s="12" t="s">
        <v>873</v>
      </c>
      <c r="M428" s="6"/>
      <c r="N428" s="6"/>
      <c r="O428" s="6"/>
      <c r="P428" s="9"/>
      <c r="Q428" s="9"/>
      <c r="R428" s="9"/>
      <c r="S428" s="9"/>
      <c r="T428" s="9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29">
        <f>15*7</f>
        <v>105</v>
      </c>
      <c r="AL428" s="18"/>
      <c r="AM428" s="5"/>
      <c r="AN428" s="5"/>
      <c r="AO428" s="7">
        <f t="shared" si="7"/>
        <v>0</v>
      </c>
    </row>
    <row r="429" spans="1:41" s="8" customFormat="1" ht="39.950000000000003" customHeight="1" x14ac:dyDescent="0.25">
      <c r="A429" s="6"/>
      <c r="B429" s="6"/>
      <c r="C429" s="12" t="s">
        <v>20</v>
      </c>
      <c r="D429" s="12" t="s">
        <v>102</v>
      </c>
      <c r="E429" s="13">
        <v>201020210</v>
      </c>
      <c r="F429" s="14" t="s">
        <v>563</v>
      </c>
      <c r="G429" s="12" t="s">
        <v>94</v>
      </c>
      <c r="H429" s="6"/>
      <c r="I429" s="12" t="s">
        <v>694</v>
      </c>
      <c r="J429" s="6"/>
      <c r="K429" s="6"/>
      <c r="L429" s="12" t="s">
        <v>879</v>
      </c>
      <c r="M429" s="6"/>
      <c r="N429" s="6"/>
      <c r="O429" s="6"/>
      <c r="P429" s="9"/>
      <c r="Q429" s="9"/>
      <c r="R429" s="9"/>
      <c r="S429" s="9"/>
      <c r="T429" s="9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29">
        <f>78*7</f>
        <v>546</v>
      </c>
      <c r="AL429" s="18"/>
      <c r="AM429" s="5"/>
      <c r="AN429" s="5"/>
      <c r="AO429" s="7">
        <f t="shared" si="7"/>
        <v>0</v>
      </c>
    </row>
    <row r="430" spans="1:41" s="8" customFormat="1" ht="39.950000000000003" customHeight="1" x14ac:dyDescent="0.25">
      <c r="A430" s="6"/>
      <c r="B430" s="6"/>
      <c r="C430" s="12" t="s">
        <v>20</v>
      </c>
      <c r="D430" s="12" t="s">
        <v>102</v>
      </c>
      <c r="E430" s="13">
        <v>201020309</v>
      </c>
      <c r="F430" s="14" t="s">
        <v>1022</v>
      </c>
      <c r="G430" s="12" t="s">
        <v>94</v>
      </c>
      <c r="H430" s="6"/>
      <c r="I430" s="12"/>
      <c r="J430" s="6"/>
      <c r="K430" s="6"/>
      <c r="L430" s="12"/>
      <c r="M430" s="6"/>
      <c r="N430" s="6"/>
      <c r="O430" s="6"/>
      <c r="P430" s="9"/>
      <c r="Q430" s="9"/>
      <c r="R430" s="9"/>
      <c r="S430" s="9"/>
      <c r="T430" s="9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29">
        <f>5*7</f>
        <v>35</v>
      </c>
      <c r="AL430" s="18"/>
      <c r="AM430" s="5"/>
      <c r="AN430" s="5"/>
      <c r="AO430" s="7">
        <f t="shared" si="7"/>
        <v>0</v>
      </c>
    </row>
    <row r="431" spans="1:41" s="8" customFormat="1" ht="39.950000000000003" customHeight="1" x14ac:dyDescent="0.25">
      <c r="A431" s="6"/>
      <c r="B431" s="6"/>
      <c r="C431" s="12" t="s">
        <v>20</v>
      </c>
      <c r="D431" s="12" t="s">
        <v>102</v>
      </c>
      <c r="E431" s="13">
        <v>201020310</v>
      </c>
      <c r="F431" s="14" t="s">
        <v>367</v>
      </c>
      <c r="G431" s="12" t="s">
        <v>94</v>
      </c>
      <c r="H431" s="6"/>
      <c r="I431" s="12" t="s">
        <v>444</v>
      </c>
      <c r="J431" s="6"/>
      <c r="K431" s="6"/>
      <c r="L431" s="12" t="s">
        <v>813</v>
      </c>
      <c r="M431" s="6"/>
      <c r="N431" s="6"/>
      <c r="O431" s="6"/>
      <c r="P431" s="9"/>
      <c r="Q431" s="9"/>
      <c r="R431" s="9"/>
      <c r="S431" s="9"/>
      <c r="T431" s="9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29">
        <f>1036*7</f>
        <v>7252</v>
      </c>
      <c r="AL431" s="18"/>
      <c r="AM431" s="5"/>
      <c r="AN431" s="5"/>
      <c r="AO431" s="7">
        <f t="shared" si="7"/>
        <v>0</v>
      </c>
    </row>
    <row r="432" spans="1:41" s="8" customFormat="1" ht="39.950000000000003" customHeight="1" x14ac:dyDescent="0.25">
      <c r="A432" s="6"/>
      <c r="B432" s="6"/>
      <c r="C432" s="12" t="s">
        <v>20</v>
      </c>
      <c r="D432" s="12" t="s">
        <v>331</v>
      </c>
      <c r="E432" s="13">
        <v>201020410</v>
      </c>
      <c r="F432" s="14" t="s">
        <v>332</v>
      </c>
      <c r="G432" s="12" t="s">
        <v>94</v>
      </c>
      <c r="H432" s="6"/>
      <c r="I432" s="12" t="s">
        <v>444</v>
      </c>
      <c r="J432" s="6"/>
      <c r="K432" s="6"/>
      <c r="L432" s="12" t="s">
        <v>1048</v>
      </c>
      <c r="M432" s="6"/>
      <c r="N432" s="6"/>
      <c r="O432" s="6"/>
      <c r="P432" s="9"/>
      <c r="Q432" s="9"/>
      <c r="R432" s="9"/>
      <c r="S432" s="9"/>
      <c r="T432" s="9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29">
        <f>4*7</f>
        <v>28</v>
      </c>
      <c r="AL432" s="18"/>
      <c r="AM432" s="5"/>
      <c r="AN432" s="5"/>
      <c r="AO432" s="7">
        <f t="shared" si="7"/>
        <v>0</v>
      </c>
    </row>
    <row r="433" spans="1:41" s="8" customFormat="1" ht="39.950000000000003" customHeight="1" x14ac:dyDescent="0.25">
      <c r="A433" s="6"/>
      <c r="B433" s="6"/>
      <c r="C433" s="12" t="s">
        <v>20</v>
      </c>
      <c r="D433" s="12" t="s">
        <v>331</v>
      </c>
      <c r="E433" s="13">
        <v>201020510</v>
      </c>
      <c r="F433" s="14" t="s">
        <v>333</v>
      </c>
      <c r="G433" s="12" t="s">
        <v>94</v>
      </c>
      <c r="H433" s="6"/>
      <c r="I433" s="12" t="s">
        <v>444</v>
      </c>
      <c r="J433" s="6"/>
      <c r="K433" s="6"/>
      <c r="L433" s="12" t="s">
        <v>810</v>
      </c>
      <c r="M433" s="6"/>
      <c r="N433" s="6"/>
      <c r="O433" s="6"/>
      <c r="P433" s="9"/>
      <c r="Q433" s="9"/>
      <c r="R433" s="9"/>
      <c r="S433" s="9"/>
      <c r="T433" s="9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29">
        <f>1*7</f>
        <v>7</v>
      </c>
      <c r="AL433" s="18"/>
      <c r="AM433" s="5"/>
      <c r="AN433" s="5"/>
      <c r="AO433" s="7">
        <f t="shared" si="7"/>
        <v>0</v>
      </c>
    </row>
    <row r="434" spans="1:41" s="8" customFormat="1" ht="39.950000000000003" customHeight="1" x14ac:dyDescent="0.25">
      <c r="A434" s="6"/>
      <c r="B434" s="6"/>
      <c r="C434" s="12" t="s">
        <v>20</v>
      </c>
      <c r="D434" s="12" t="s">
        <v>102</v>
      </c>
      <c r="E434" s="13">
        <v>201020710</v>
      </c>
      <c r="F434" s="14" t="s">
        <v>504</v>
      </c>
      <c r="G434" s="12" t="s">
        <v>94</v>
      </c>
      <c r="H434" s="6"/>
      <c r="I434" s="12" t="s">
        <v>444</v>
      </c>
      <c r="J434" s="6"/>
      <c r="K434" s="6"/>
      <c r="L434" s="12" t="s">
        <v>781</v>
      </c>
      <c r="M434" s="6"/>
      <c r="N434" s="6"/>
      <c r="O434" s="6"/>
      <c r="P434" s="9"/>
      <c r="Q434" s="9"/>
      <c r="R434" s="9"/>
      <c r="S434" s="9"/>
      <c r="T434" s="9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29">
        <f>19*7</f>
        <v>133</v>
      </c>
      <c r="AL434" s="18"/>
      <c r="AM434" s="5"/>
      <c r="AN434" s="5"/>
      <c r="AO434" s="7">
        <f t="shared" si="7"/>
        <v>0</v>
      </c>
    </row>
    <row r="435" spans="1:41" s="8" customFormat="1" ht="39.950000000000003" customHeight="1" x14ac:dyDescent="0.25">
      <c r="A435" s="6"/>
      <c r="B435" s="6"/>
      <c r="C435" s="12" t="s">
        <v>20</v>
      </c>
      <c r="D435" s="12" t="s">
        <v>550</v>
      </c>
      <c r="E435" s="13">
        <v>201030110</v>
      </c>
      <c r="F435" s="14" t="s">
        <v>551</v>
      </c>
      <c r="G435" s="12" t="s">
        <v>94</v>
      </c>
      <c r="H435" s="6"/>
      <c r="I435" s="12" t="s">
        <v>94</v>
      </c>
      <c r="J435" s="6"/>
      <c r="K435" s="6"/>
      <c r="L435" s="12" t="s">
        <v>880</v>
      </c>
      <c r="M435" s="6"/>
      <c r="N435" s="6"/>
      <c r="O435" s="6"/>
      <c r="P435" s="9"/>
      <c r="Q435" s="9"/>
      <c r="R435" s="9"/>
      <c r="S435" s="9"/>
      <c r="T435" s="9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29">
        <f>5*7</f>
        <v>35</v>
      </c>
      <c r="AL435" s="18"/>
      <c r="AM435" s="5"/>
      <c r="AN435" s="5"/>
      <c r="AO435" s="7">
        <f t="shared" si="7"/>
        <v>0</v>
      </c>
    </row>
    <row r="436" spans="1:41" s="8" customFormat="1" ht="39.950000000000003" customHeight="1" x14ac:dyDescent="0.25">
      <c r="A436" s="6"/>
      <c r="B436" s="6"/>
      <c r="C436" s="12" t="s">
        <v>20</v>
      </c>
      <c r="D436" s="12" t="s">
        <v>102</v>
      </c>
      <c r="E436" s="13">
        <v>201030210</v>
      </c>
      <c r="F436" s="14" t="s">
        <v>561</v>
      </c>
      <c r="G436" s="12" t="s">
        <v>94</v>
      </c>
      <c r="H436" s="6"/>
      <c r="I436" s="12" t="s">
        <v>94</v>
      </c>
      <c r="J436" s="6"/>
      <c r="K436" s="6"/>
      <c r="L436" s="12" t="s">
        <v>880</v>
      </c>
      <c r="M436" s="6"/>
      <c r="N436" s="6"/>
      <c r="O436" s="6"/>
      <c r="P436" s="9"/>
      <c r="Q436" s="9"/>
      <c r="R436" s="9"/>
      <c r="S436" s="9"/>
      <c r="T436" s="9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29">
        <f>1*7</f>
        <v>7</v>
      </c>
      <c r="AL436" s="18"/>
      <c r="AM436" s="5"/>
      <c r="AN436" s="5"/>
      <c r="AO436" s="7">
        <f t="shared" si="7"/>
        <v>0</v>
      </c>
    </row>
    <row r="437" spans="1:41" s="8" customFormat="1" ht="39.950000000000003" customHeight="1" x14ac:dyDescent="0.25">
      <c r="A437" s="6"/>
      <c r="B437" s="6"/>
      <c r="C437" s="12" t="s">
        <v>20</v>
      </c>
      <c r="D437" s="12" t="s">
        <v>550</v>
      </c>
      <c r="E437" s="13">
        <v>201030410</v>
      </c>
      <c r="F437" s="14" t="s">
        <v>552</v>
      </c>
      <c r="G437" s="12" t="s">
        <v>94</v>
      </c>
      <c r="H437" s="6"/>
      <c r="I437" s="12" t="s">
        <v>94</v>
      </c>
      <c r="J437" s="6"/>
      <c r="K437" s="6"/>
      <c r="L437" s="12" t="s">
        <v>880</v>
      </c>
      <c r="M437" s="6"/>
      <c r="N437" s="6"/>
      <c r="O437" s="6"/>
      <c r="P437" s="9"/>
      <c r="Q437" s="9"/>
      <c r="R437" s="9"/>
      <c r="S437" s="9"/>
      <c r="T437" s="9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29">
        <f>4*7</f>
        <v>28</v>
      </c>
      <c r="AL437" s="18"/>
      <c r="AM437" s="5"/>
      <c r="AN437" s="5"/>
      <c r="AO437" s="7">
        <f t="shared" si="7"/>
        <v>0</v>
      </c>
    </row>
    <row r="438" spans="1:41" s="8" customFormat="1" ht="39.950000000000003" customHeight="1" x14ac:dyDescent="0.25">
      <c r="A438" s="6"/>
      <c r="B438" s="6"/>
      <c r="C438" s="12" t="s">
        <v>20</v>
      </c>
      <c r="D438" s="12" t="s">
        <v>550</v>
      </c>
      <c r="E438" s="13">
        <v>201030510</v>
      </c>
      <c r="F438" s="14" t="s">
        <v>553</v>
      </c>
      <c r="G438" s="12" t="s">
        <v>94</v>
      </c>
      <c r="H438" s="6"/>
      <c r="I438" s="12" t="s">
        <v>94</v>
      </c>
      <c r="J438" s="6"/>
      <c r="K438" s="6"/>
      <c r="L438" s="12" t="s">
        <v>880</v>
      </c>
      <c r="M438" s="6"/>
      <c r="N438" s="6"/>
      <c r="O438" s="6"/>
      <c r="P438" s="9"/>
      <c r="Q438" s="9"/>
      <c r="R438" s="9"/>
      <c r="S438" s="9"/>
      <c r="T438" s="9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29">
        <f>4*7</f>
        <v>28</v>
      </c>
      <c r="AL438" s="18"/>
      <c r="AM438" s="5"/>
      <c r="AN438" s="5"/>
      <c r="AO438" s="7">
        <f t="shared" si="7"/>
        <v>0</v>
      </c>
    </row>
    <row r="439" spans="1:41" s="8" customFormat="1" ht="39.950000000000003" customHeight="1" x14ac:dyDescent="0.25">
      <c r="A439" s="6"/>
      <c r="B439" s="6"/>
      <c r="C439" s="12" t="s">
        <v>20</v>
      </c>
      <c r="D439" s="12" t="s">
        <v>550</v>
      </c>
      <c r="E439" s="13">
        <v>201030610</v>
      </c>
      <c r="F439" s="14" t="s">
        <v>554</v>
      </c>
      <c r="G439" s="12" t="s">
        <v>94</v>
      </c>
      <c r="H439" s="6"/>
      <c r="I439" s="12" t="s">
        <v>94</v>
      </c>
      <c r="J439" s="6"/>
      <c r="K439" s="6"/>
      <c r="L439" s="12" t="s">
        <v>880</v>
      </c>
      <c r="M439" s="6"/>
      <c r="N439" s="6"/>
      <c r="O439" s="6"/>
      <c r="P439" s="9"/>
      <c r="Q439" s="9"/>
      <c r="R439" s="9"/>
      <c r="S439" s="9"/>
      <c r="T439" s="9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29">
        <f>7*7</f>
        <v>49</v>
      </c>
      <c r="AL439" s="18"/>
      <c r="AM439" s="5"/>
      <c r="AN439" s="5"/>
      <c r="AO439" s="7">
        <f t="shared" si="7"/>
        <v>0</v>
      </c>
    </row>
    <row r="440" spans="1:41" s="8" customFormat="1" ht="39.950000000000003" customHeight="1" x14ac:dyDescent="0.25">
      <c r="A440" s="6"/>
      <c r="B440" s="6"/>
      <c r="C440" s="12" t="s">
        <v>20</v>
      </c>
      <c r="D440" s="12" t="s">
        <v>550</v>
      </c>
      <c r="E440" s="13">
        <v>201030710</v>
      </c>
      <c r="F440" s="14" t="s">
        <v>555</v>
      </c>
      <c r="G440" s="12" t="s">
        <v>94</v>
      </c>
      <c r="H440" s="6"/>
      <c r="I440" s="12" t="s">
        <v>94</v>
      </c>
      <c r="J440" s="6"/>
      <c r="K440" s="6"/>
      <c r="L440" s="12" t="s">
        <v>880</v>
      </c>
      <c r="M440" s="6"/>
      <c r="N440" s="6"/>
      <c r="O440" s="6"/>
      <c r="P440" s="9"/>
      <c r="Q440" s="9"/>
      <c r="R440" s="9"/>
      <c r="S440" s="9"/>
      <c r="T440" s="9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29">
        <f>4*7</f>
        <v>28</v>
      </c>
      <c r="AL440" s="18"/>
      <c r="AM440" s="5"/>
      <c r="AN440" s="5"/>
      <c r="AO440" s="7">
        <f t="shared" si="7"/>
        <v>0</v>
      </c>
    </row>
    <row r="441" spans="1:41" s="8" customFormat="1" ht="39.950000000000003" customHeight="1" x14ac:dyDescent="0.25">
      <c r="A441" s="6"/>
      <c r="B441" s="6"/>
      <c r="C441" s="12" t="s">
        <v>20</v>
      </c>
      <c r="D441" s="12" t="s">
        <v>550</v>
      </c>
      <c r="E441" s="13">
        <v>201030810</v>
      </c>
      <c r="F441" s="14" t="s">
        <v>556</v>
      </c>
      <c r="G441" s="12" t="s">
        <v>94</v>
      </c>
      <c r="H441" s="6"/>
      <c r="I441" s="12" t="s">
        <v>94</v>
      </c>
      <c r="J441" s="6"/>
      <c r="K441" s="6"/>
      <c r="L441" s="12" t="s">
        <v>880</v>
      </c>
      <c r="M441" s="6"/>
      <c r="N441" s="6"/>
      <c r="O441" s="6"/>
      <c r="P441" s="9"/>
      <c r="Q441" s="9"/>
      <c r="R441" s="9"/>
      <c r="S441" s="9"/>
      <c r="T441" s="9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29">
        <f>42*7</f>
        <v>294</v>
      </c>
      <c r="AL441" s="18"/>
      <c r="AM441" s="5"/>
      <c r="AN441" s="5"/>
      <c r="AO441" s="7">
        <f t="shared" si="7"/>
        <v>0</v>
      </c>
    </row>
    <row r="442" spans="1:41" s="8" customFormat="1" ht="39.950000000000003" customHeight="1" x14ac:dyDescent="0.25">
      <c r="A442" s="6"/>
      <c r="B442" s="6"/>
      <c r="C442" s="12" t="s">
        <v>20</v>
      </c>
      <c r="D442" s="12" t="s">
        <v>102</v>
      </c>
      <c r="E442" s="13">
        <v>201035102</v>
      </c>
      <c r="F442" s="14" t="s">
        <v>581</v>
      </c>
      <c r="G442" s="12" t="s">
        <v>94</v>
      </c>
      <c r="H442" s="6"/>
      <c r="I442" s="12" t="s">
        <v>701</v>
      </c>
      <c r="J442" s="6"/>
      <c r="K442" s="6"/>
      <c r="L442" s="12" t="s">
        <v>880</v>
      </c>
      <c r="M442" s="6"/>
      <c r="N442" s="6"/>
      <c r="O442" s="6"/>
      <c r="P442" s="9"/>
      <c r="Q442" s="9"/>
      <c r="R442" s="9"/>
      <c r="S442" s="9"/>
      <c r="T442" s="9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29">
        <f>12*7</f>
        <v>84</v>
      </c>
      <c r="AL442" s="18"/>
      <c r="AM442" s="5"/>
      <c r="AN442" s="5"/>
      <c r="AO442" s="7">
        <f t="shared" si="7"/>
        <v>0</v>
      </c>
    </row>
    <row r="443" spans="1:41" s="8" customFormat="1" ht="39.950000000000003" customHeight="1" x14ac:dyDescent="0.25">
      <c r="A443" s="6"/>
      <c r="B443" s="6"/>
      <c r="C443" s="12" t="s">
        <v>20</v>
      </c>
      <c r="D443" s="12" t="s">
        <v>422</v>
      </c>
      <c r="E443" s="23">
        <v>201040610</v>
      </c>
      <c r="F443" s="24" t="s">
        <v>423</v>
      </c>
      <c r="G443" s="12" t="s">
        <v>94</v>
      </c>
      <c r="H443" s="6"/>
      <c r="I443" s="12" t="s">
        <v>679</v>
      </c>
      <c r="J443" s="6"/>
      <c r="K443" s="6"/>
      <c r="L443" s="12" t="s">
        <v>842</v>
      </c>
      <c r="M443" s="6"/>
      <c r="N443" s="6"/>
      <c r="O443" s="6"/>
      <c r="P443" s="9"/>
      <c r="Q443" s="9"/>
      <c r="R443" s="9"/>
      <c r="S443" s="9"/>
      <c r="T443" s="9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29">
        <f>2586*7</f>
        <v>18102</v>
      </c>
      <c r="AL443" s="18"/>
      <c r="AM443" s="5"/>
      <c r="AN443" s="5"/>
      <c r="AO443" s="7">
        <f t="shared" si="7"/>
        <v>0</v>
      </c>
    </row>
    <row r="444" spans="1:41" s="8" customFormat="1" ht="39.950000000000003" customHeight="1" x14ac:dyDescent="0.25">
      <c r="A444" s="6"/>
      <c r="B444" s="6"/>
      <c r="C444" s="12" t="s">
        <v>20</v>
      </c>
      <c r="D444" s="12" t="s">
        <v>422</v>
      </c>
      <c r="E444" s="23">
        <v>201040710</v>
      </c>
      <c r="F444" s="24" t="s">
        <v>424</v>
      </c>
      <c r="G444" s="12" t="s">
        <v>94</v>
      </c>
      <c r="H444" s="6"/>
      <c r="I444" s="12" t="s">
        <v>679</v>
      </c>
      <c r="J444" s="6"/>
      <c r="K444" s="6"/>
      <c r="L444" s="12" t="s">
        <v>842</v>
      </c>
      <c r="M444" s="6"/>
      <c r="N444" s="6"/>
      <c r="O444" s="6"/>
      <c r="P444" s="9"/>
      <c r="Q444" s="9"/>
      <c r="R444" s="9"/>
      <c r="S444" s="9"/>
      <c r="T444" s="9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29">
        <f>5174*7</f>
        <v>36218</v>
      </c>
      <c r="AL444" s="18"/>
      <c r="AM444" s="5"/>
      <c r="AN444" s="5"/>
      <c r="AO444" s="7">
        <f t="shared" si="7"/>
        <v>0</v>
      </c>
    </row>
    <row r="445" spans="1:41" s="8" customFormat="1" ht="39.950000000000003" customHeight="1" x14ac:dyDescent="0.25">
      <c r="A445" s="6"/>
      <c r="B445" s="6"/>
      <c r="C445" s="12" t="s">
        <v>20</v>
      </c>
      <c r="D445" s="12" t="s">
        <v>422</v>
      </c>
      <c r="E445" s="23">
        <v>201040810</v>
      </c>
      <c r="F445" s="24" t="s">
        <v>425</v>
      </c>
      <c r="G445" s="12" t="s">
        <v>94</v>
      </c>
      <c r="H445" s="6"/>
      <c r="I445" s="12" t="s">
        <v>679</v>
      </c>
      <c r="J445" s="6"/>
      <c r="K445" s="6"/>
      <c r="L445" s="12" t="s">
        <v>842</v>
      </c>
      <c r="M445" s="6"/>
      <c r="N445" s="6"/>
      <c r="O445" s="6"/>
      <c r="P445" s="9"/>
      <c r="Q445" s="9"/>
      <c r="R445" s="9"/>
      <c r="S445" s="9"/>
      <c r="T445" s="9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29">
        <f>6096*7</f>
        <v>42672</v>
      </c>
      <c r="AL445" s="18"/>
      <c r="AM445" s="5"/>
      <c r="AN445" s="5"/>
      <c r="AO445" s="7">
        <f t="shared" si="7"/>
        <v>0</v>
      </c>
    </row>
    <row r="446" spans="1:41" s="8" customFormat="1" ht="39.950000000000003" customHeight="1" x14ac:dyDescent="0.25">
      <c r="A446" s="6"/>
      <c r="B446" s="6"/>
      <c r="C446" s="12" t="s">
        <v>20</v>
      </c>
      <c r="D446" s="12" t="s">
        <v>422</v>
      </c>
      <c r="E446" s="23">
        <v>201041510</v>
      </c>
      <c r="F446" s="24" t="s">
        <v>426</v>
      </c>
      <c r="G446" s="12" t="s">
        <v>94</v>
      </c>
      <c r="H446" s="6"/>
      <c r="I446" s="12" t="s">
        <v>679</v>
      </c>
      <c r="J446" s="6"/>
      <c r="K446" s="6"/>
      <c r="L446" s="12"/>
      <c r="M446" s="6"/>
      <c r="N446" s="6"/>
      <c r="O446" s="6"/>
      <c r="P446" s="9"/>
      <c r="Q446" s="9"/>
      <c r="R446" s="9"/>
      <c r="S446" s="9"/>
      <c r="T446" s="9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29">
        <f>1164*7</f>
        <v>8148</v>
      </c>
      <c r="AL446" s="18"/>
      <c r="AM446" s="5"/>
      <c r="AN446" s="5"/>
      <c r="AO446" s="7">
        <f t="shared" si="7"/>
        <v>0</v>
      </c>
    </row>
    <row r="447" spans="1:41" s="8" customFormat="1" ht="39.950000000000003" customHeight="1" x14ac:dyDescent="0.25">
      <c r="A447" s="6"/>
      <c r="B447" s="6"/>
      <c r="C447" s="12" t="s">
        <v>20</v>
      </c>
      <c r="D447" s="12" t="s">
        <v>102</v>
      </c>
      <c r="E447" s="13">
        <v>201041511</v>
      </c>
      <c r="F447" s="14" t="s">
        <v>1023</v>
      </c>
      <c r="G447" s="12" t="s">
        <v>94</v>
      </c>
      <c r="H447" s="6"/>
      <c r="I447" s="12"/>
      <c r="J447" s="6"/>
      <c r="K447" s="6"/>
      <c r="L447" s="12"/>
      <c r="M447" s="6"/>
      <c r="N447" s="6"/>
      <c r="O447" s="6"/>
      <c r="P447" s="9"/>
      <c r="Q447" s="9"/>
      <c r="R447" s="9"/>
      <c r="S447" s="9"/>
      <c r="T447" s="9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29">
        <f>50*7</f>
        <v>350</v>
      </c>
      <c r="AL447" s="18"/>
      <c r="AM447" s="5"/>
      <c r="AN447" s="5"/>
      <c r="AO447" s="7">
        <f t="shared" si="7"/>
        <v>0</v>
      </c>
    </row>
    <row r="448" spans="1:41" s="8" customFormat="1" ht="39.950000000000003" customHeight="1" x14ac:dyDescent="0.25">
      <c r="A448" s="6"/>
      <c r="B448" s="6"/>
      <c r="C448" s="12" t="s">
        <v>20</v>
      </c>
      <c r="D448" s="12" t="s">
        <v>102</v>
      </c>
      <c r="E448" s="13">
        <v>201040913</v>
      </c>
      <c r="F448" s="14" t="s">
        <v>295</v>
      </c>
      <c r="G448" s="12" t="s">
        <v>94</v>
      </c>
      <c r="H448" s="6"/>
      <c r="I448" s="12" t="s">
        <v>444</v>
      </c>
      <c r="J448" s="6"/>
      <c r="K448" s="6"/>
      <c r="L448" s="12" t="s">
        <v>803</v>
      </c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29">
        <f>2*7</f>
        <v>14</v>
      </c>
      <c r="AL448" s="18"/>
      <c r="AM448" s="5"/>
      <c r="AN448" s="5"/>
      <c r="AO448" s="7">
        <f t="shared" si="7"/>
        <v>0</v>
      </c>
    </row>
    <row r="449" spans="1:41" s="8" customFormat="1" ht="39.950000000000003" customHeight="1" x14ac:dyDescent="0.25">
      <c r="A449" s="6"/>
      <c r="B449" s="6"/>
      <c r="C449" s="12" t="s">
        <v>20</v>
      </c>
      <c r="D449" s="12" t="s">
        <v>102</v>
      </c>
      <c r="E449" s="13">
        <v>201042335</v>
      </c>
      <c r="F449" s="14" t="s">
        <v>1024</v>
      </c>
      <c r="G449" s="12" t="s">
        <v>94</v>
      </c>
      <c r="H449" s="6"/>
      <c r="I449" s="12"/>
      <c r="J449" s="6"/>
      <c r="K449" s="6"/>
      <c r="L449" s="12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29">
        <f>5*7</f>
        <v>35</v>
      </c>
      <c r="AL449" s="18"/>
      <c r="AM449" s="5"/>
      <c r="AN449" s="5"/>
      <c r="AO449" s="7">
        <f t="shared" si="7"/>
        <v>0</v>
      </c>
    </row>
    <row r="450" spans="1:41" s="8" customFormat="1" ht="39.950000000000003" customHeight="1" x14ac:dyDescent="0.25">
      <c r="A450" s="6"/>
      <c r="B450" s="6"/>
      <c r="C450" s="12" t="s">
        <v>20</v>
      </c>
      <c r="D450" s="12" t="s">
        <v>102</v>
      </c>
      <c r="E450" s="13">
        <v>201043510</v>
      </c>
      <c r="F450" s="14" t="s">
        <v>507</v>
      </c>
      <c r="G450" s="12" t="s">
        <v>312</v>
      </c>
      <c r="H450" s="6"/>
      <c r="I450" s="12" t="s">
        <v>444</v>
      </c>
      <c r="J450" s="6"/>
      <c r="K450" s="6"/>
      <c r="L450" s="12" t="s">
        <v>871</v>
      </c>
      <c r="M450" s="6"/>
      <c r="N450" s="6"/>
      <c r="O450" s="6"/>
      <c r="P450" s="9"/>
      <c r="Q450" s="9"/>
      <c r="R450" s="9"/>
      <c r="S450" s="9"/>
      <c r="T450" s="9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29">
        <f>2*7</f>
        <v>14</v>
      </c>
      <c r="AL450" s="18"/>
      <c r="AM450" s="5"/>
      <c r="AN450" s="5"/>
      <c r="AO450" s="7">
        <f t="shared" si="7"/>
        <v>0</v>
      </c>
    </row>
    <row r="451" spans="1:41" s="8" customFormat="1" ht="39.950000000000003" customHeight="1" x14ac:dyDescent="0.25">
      <c r="A451" s="6"/>
      <c r="B451" s="6"/>
      <c r="C451" s="12" t="s">
        <v>20</v>
      </c>
      <c r="D451" s="12" t="s">
        <v>102</v>
      </c>
      <c r="E451" s="13">
        <v>201044019</v>
      </c>
      <c r="F451" s="14" t="s">
        <v>593</v>
      </c>
      <c r="G451" s="12" t="s">
        <v>94</v>
      </c>
      <c r="H451" s="6"/>
      <c r="I451" s="12" t="s">
        <v>689</v>
      </c>
      <c r="J451" s="6"/>
      <c r="K451" s="6"/>
      <c r="L451" s="12" t="s">
        <v>889</v>
      </c>
      <c r="M451" s="6"/>
      <c r="N451" s="6"/>
      <c r="O451" s="6"/>
      <c r="P451" s="9"/>
      <c r="Q451" s="9"/>
      <c r="R451" s="9"/>
      <c r="S451" s="9"/>
      <c r="T451" s="9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29">
        <f>39*7</f>
        <v>273</v>
      </c>
      <c r="AL451" s="18"/>
      <c r="AM451" s="5"/>
      <c r="AN451" s="5"/>
      <c r="AO451" s="7">
        <f t="shared" si="7"/>
        <v>0</v>
      </c>
    </row>
    <row r="452" spans="1:41" s="8" customFormat="1" ht="39.950000000000003" customHeight="1" x14ac:dyDescent="0.25">
      <c r="A452" s="6"/>
      <c r="B452" s="6"/>
      <c r="C452" s="12" t="s">
        <v>20</v>
      </c>
      <c r="D452" s="12" t="s">
        <v>102</v>
      </c>
      <c r="E452" s="13">
        <v>201050810</v>
      </c>
      <c r="F452" s="14" t="s">
        <v>359</v>
      </c>
      <c r="G452" s="12" t="s">
        <v>94</v>
      </c>
      <c r="H452" s="6"/>
      <c r="I452" s="12" t="s">
        <v>444</v>
      </c>
      <c r="J452" s="6"/>
      <c r="K452" s="6"/>
      <c r="L452" s="12" t="s">
        <v>813</v>
      </c>
      <c r="M452" s="6"/>
      <c r="N452" s="6"/>
      <c r="O452" s="6"/>
      <c r="P452" s="9"/>
      <c r="Q452" s="9"/>
      <c r="R452" s="9"/>
      <c r="S452" s="9"/>
      <c r="T452" s="9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29">
        <f>211*7</f>
        <v>1477</v>
      </c>
      <c r="AL452" s="18"/>
      <c r="AM452" s="5"/>
      <c r="AN452" s="5"/>
      <c r="AO452" s="7">
        <f t="shared" si="7"/>
        <v>0</v>
      </c>
    </row>
    <row r="453" spans="1:41" s="8" customFormat="1" ht="39.950000000000003" customHeight="1" x14ac:dyDescent="0.25">
      <c r="A453" s="6"/>
      <c r="B453" s="6"/>
      <c r="C453" s="12" t="s">
        <v>20</v>
      </c>
      <c r="D453" s="12" t="s">
        <v>102</v>
      </c>
      <c r="E453" s="23">
        <v>201050812</v>
      </c>
      <c r="F453" s="24" t="s">
        <v>1197</v>
      </c>
      <c r="G453" s="12" t="s">
        <v>94</v>
      </c>
      <c r="H453" s="6"/>
      <c r="I453" s="12" t="s">
        <v>444</v>
      </c>
      <c r="J453" s="6"/>
      <c r="K453" s="6"/>
      <c r="L453" s="12"/>
      <c r="M453" s="6"/>
      <c r="N453" s="6"/>
      <c r="O453" s="6"/>
      <c r="P453" s="9"/>
      <c r="Q453" s="9"/>
      <c r="R453" s="9"/>
      <c r="S453" s="9"/>
      <c r="T453" s="9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29">
        <f>10*7</f>
        <v>70</v>
      </c>
      <c r="AL453" s="18"/>
      <c r="AM453" s="5"/>
      <c r="AN453" s="5"/>
      <c r="AO453" s="7">
        <f t="shared" si="7"/>
        <v>0</v>
      </c>
    </row>
    <row r="454" spans="1:41" s="8" customFormat="1" ht="39.950000000000003" customHeight="1" x14ac:dyDescent="0.25">
      <c r="A454" s="6"/>
      <c r="B454" s="6"/>
      <c r="C454" s="12" t="s">
        <v>20</v>
      </c>
      <c r="D454" s="12" t="s">
        <v>418</v>
      </c>
      <c r="E454" s="23">
        <v>201050910</v>
      </c>
      <c r="F454" s="24" t="s">
        <v>1155</v>
      </c>
      <c r="G454" s="12" t="s">
        <v>94</v>
      </c>
      <c r="H454" s="6"/>
      <c r="I454" s="12" t="s">
        <v>674</v>
      </c>
      <c r="J454" s="6"/>
      <c r="K454" s="6"/>
      <c r="L454" s="12" t="s">
        <v>846</v>
      </c>
      <c r="M454" s="6"/>
      <c r="N454" s="6"/>
      <c r="O454" s="6"/>
      <c r="P454" s="9"/>
      <c r="Q454" s="9"/>
      <c r="R454" s="9"/>
      <c r="S454" s="9"/>
      <c r="T454" s="9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29">
        <f>10274*7</f>
        <v>71918</v>
      </c>
      <c r="AL454" s="18"/>
      <c r="AM454" s="5"/>
      <c r="AN454" s="5"/>
      <c r="AO454" s="7">
        <f t="shared" si="7"/>
        <v>0</v>
      </c>
    </row>
    <row r="455" spans="1:41" s="8" customFormat="1" ht="39.950000000000003" customHeight="1" x14ac:dyDescent="0.25">
      <c r="A455" s="6"/>
      <c r="B455" s="6"/>
      <c r="C455" s="12" t="s">
        <v>20</v>
      </c>
      <c r="D455" s="12" t="s">
        <v>418</v>
      </c>
      <c r="E455" s="23">
        <v>201051010</v>
      </c>
      <c r="F455" s="24" t="s">
        <v>1156</v>
      </c>
      <c r="G455" s="12" t="s">
        <v>94</v>
      </c>
      <c r="H455" s="6"/>
      <c r="I455" s="12" t="s">
        <v>674</v>
      </c>
      <c r="J455" s="6"/>
      <c r="K455" s="6"/>
      <c r="L455" s="12" t="s">
        <v>846</v>
      </c>
      <c r="M455" s="6"/>
      <c r="N455" s="6"/>
      <c r="O455" s="6"/>
      <c r="P455" s="9"/>
      <c r="Q455" s="9"/>
      <c r="R455" s="9"/>
      <c r="S455" s="9"/>
      <c r="T455" s="9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29">
        <f>64*7</f>
        <v>448</v>
      </c>
      <c r="AL455" s="18"/>
      <c r="AM455" s="5"/>
      <c r="AN455" s="5"/>
      <c r="AO455" s="7">
        <f t="shared" si="7"/>
        <v>0</v>
      </c>
    </row>
    <row r="456" spans="1:41" s="8" customFormat="1" ht="39.950000000000003" customHeight="1" x14ac:dyDescent="0.25">
      <c r="A456" s="6"/>
      <c r="B456" s="6"/>
      <c r="C456" s="12" t="s">
        <v>20</v>
      </c>
      <c r="D456" s="12" t="s">
        <v>102</v>
      </c>
      <c r="E456" s="23">
        <v>201051110</v>
      </c>
      <c r="F456" s="24" t="s">
        <v>984</v>
      </c>
      <c r="G456" s="12" t="s">
        <v>94</v>
      </c>
      <c r="H456" s="6"/>
      <c r="I456" s="12"/>
      <c r="J456" s="6"/>
      <c r="K456" s="6"/>
      <c r="L456" s="12"/>
      <c r="M456" s="6"/>
      <c r="N456" s="6"/>
      <c r="O456" s="6"/>
      <c r="P456" s="9"/>
      <c r="Q456" s="9"/>
      <c r="R456" s="9"/>
      <c r="S456" s="9"/>
      <c r="T456" s="9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29">
        <f>24*9</f>
        <v>216</v>
      </c>
      <c r="AL456" s="18"/>
      <c r="AM456" s="5"/>
      <c r="AN456" s="5"/>
      <c r="AO456" s="7">
        <f t="shared" si="7"/>
        <v>0</v>
      </c>
    </row>
    <row r="457" spans="1:41" s="8" customFormat="1" ht="39.950000000000003" customHeight="1" x14ac:dyDescent="0.25">
      <c r="A457" s="6"/>
      <c r="B457" s="6"/>
      <c r="C457" s="12" t="s">
        <v>20</v>
      </c>
      <c r="D457" s="12" t="s">
        <v>102</v>
      </c>
      <c r="E457" s="13">
        <v>201051250</v>
      </c>
      <c r="F457" s="14" t="s">
        <v>410</v>
      </c>
      <c r="G457" s="12" t="s">
        <v>94</v>
      </c>
      <c r="H457" s="6"/>
      <c r="I457" s="12" t="s">
        <v>674</v>
      </c>
      <c r="J457" s="6"/>
      <c r="K457" s="6"/>
      <c r="L457" s="12" t="s">
        <v>842</v>
      </c>
      <c r="M457" s="6"/>
      <c r="N457" s="6"/>
      <c r="O457" s="6"/>
      <c r="P457" s="9"/>
      <c r="Q457" s="9"/>
      <c r="R457" s="9"/>
      <c r="S457" s="9"/>
      <c r="T457" s="9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29">
        <f>41*7</f>
        <v>287</v>
      </c>
      <c r="AL457" s="18"/>
      <c r="AM457" s="5"/>
      <c r="AN457" s="5"/>
      <c r="AO457" s="7">
        <f t="shared" si="7"/>
        <v>0</v>
      </c>
    </row>
    <row r="458" spans="1:41" s="8" customFormat="1" ht="39.950000000000003" customHeight="1" x14ac:dyDescent="0.25">
      <c r="A458" s="6"/>
      <c r="B458" s="6"/>
      <c r="C458" s="12" t="s">
        <v>20</v>
      </c>
      <c r="D458" s="12" t="s">
        <v>102</v>
      </c>
      <c r="E458" s="13">
        <v>201063507</v>
      </c>
      <c r="F458" s="14" t="s">
        <v>402</v>
      </c>
      <c r="G458" s="12" t="s">
        <v>253</v>
      </c>
      <c r="H458" s="6"/>
      <c r="I458" s="12" t="s">
        <v>668</v>
      </c>
      <c r="J458" s="6"/>
      <c r="K458" s="6"/>
      <c r="L458" s="12" t="s">
        <v>839</v>
      </c>
      <c r="M458" s="6"/>
      <c r="N458" s="6"/>
      <c r="O458" s="6"/>
      <c r="P458" s="9"/>
      <c r="Q458" s="9"/>
      <c r="R458" s="9"/>
      <c r="S458" s="9"/>
      <c r="T458" s="9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29">
        <f>40*7</f>
        <v>280</v>
      </c>
      <c r="AL458" s="18"/>
      <c r="AM458" s="5"/>
      <c r="AN458" s="5"/>
      <c r="AO458" s="7">
        <f t="shared" si="7"/>
        <v>0</v>
      </c>
    </row>
    <row r="459" spans="1:41" s="8" customFormat="1" ht="39.950000000000003" customHeight="1" x14ac:dyDescent="0.25">
      <c r="A459" s="6"/>
      <c r="B459" s="6"/>
      <c r="C459" s="12" t="s">
        <v>20</v>
      </c>
      <c r="D459" s="12" t="s">
        <v>1032</v>
      </c>
      <c r="E459" s="13">
        <v>201070636</v>
      </c>
      <c r="F459" s="14" t="s">
        <v>1025</v>
      </c>
      <c r="G459" s="12" t="s">
        <v>516</v>
      </c>
      <c r="H459" s="6"/>
      <c r="I459" s="12" t="s">
        <v>687</v>
      </c>
      <c r="J459" s="6"/>
      <c r="K459" s="6"/>
      <c r="L459" s="12" t="s">
        <v>839</v>
      </c>
      <c r="M459" s="6"/>
      <c r="N459" s="6"/>
      <c r="O459" s="6"/>
      <c r="P459" s="9"/>
      <c r="Q459" s="9"/>
      <c r="R459" s="9"/>
      <c r="S459" s="9"/>
      <c r="T459" s="9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29">
        <f>12412*7</f>
        <v>86884</v>
      </c>
      <c r="AL459" s="18"/>
      <c r="AM459" s="5"/>
      <c r="AN459" s="5"/>
      <c r="AO459" s="7">
        <f t="shared" si="7"/>
        <v>0</v>
      </c>
    </row>
    <row r="460" spans="1:41" s="8" customFormat="1" ht="39.950000000000003" customHeight="1" x14ac:dyDescent="0.25">
      <c r="A460" s="6"/>
      <c r="B460" s="6"/>
      <c r="C460" s="12" t="s">
        <v>20</v>
      </c>
      <c r="D460" s="12" t="s">
        <v>1032</v>
      </c>
      <c r="E460" s="13">
        <v>201070638</v>
      </c>
      <c r="F460" s="14" t="s">
        <v>1026</v>
      </c>
      <c r="G460" s="12" t="s">
        <v>516</v>
      </c>
      <c r="H460" s="6"/>
      <c r="I460" s="12" t="s">
        <v>687</v>
      </c>
      <c r="J460" s="6"/>
      <c r="K460" s="6"/>
      <c r="L460" s="12" t="s">
        <v>839</v>
      </c>
      <c r="M460" s="6"/>
      <c r="N460" s="6"/>
      <c r="O460" s="6"/>
      <c r="P460" s="9"/>
      <c r="Q460" s="9"/>
      <c r="R460" s="9"/>
      <c r="S460" s="9"/>
      <c r="T460" s="9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29">
        <f>27360*7</f>
        <v>191520</v>
      </c>
      <c r="AL460" s="18"/>
      <c r="AM460" s="5"/>
      <c r="AN460" s="5"/>
      <c r="AO460" s="7">
        <f t="shared" si="7"/>
        <v>0</v>
      </c>
    </row>
    <row r="461" spans="1:41" s="8" customFormat="1" ht="39.950000000000003" customHeight="1" x14ac:dyDescent="0.25">
      <c r="A461" s="6"/>
      <c r="B461" s="6"/>
      <c r="C461" s="12" t="s">
        <v>20</v>
      </c>
      <c r="D461" s="12" t="s">
        <v>1032</v>
      </c>
      <c r="E461" s="13">
        <v>201070640</v>
      </c>
      <c r="F461" s="14" t="s">
        <v>1027</v>
      </c>
      <c r="G461" s="12" t="s">
        <v>516</v>
      </c>
      <c r="H461" s="6"/>
      <c r="I461" s="12" t="s">
        <v>687</v>
      </c>
      <c r="J461" s="6"/>
      <c r="K461" s="6"/>
      <c r="L461" s="12" t="s">
        <v>839</v>
      </c>
      <c r="M461" s="6"/>
      <c r="N461" s="6"/>
      <c r="O461" s="6"/>
      <c r="P461" s="9"/>
      <c r="Q461" s="9"/>
      <c r="R461" s="9"/>
      <c r="S461" s="9"/>
      <c r="T461" s="9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29">
        <f>1073*7</f>
        <v>7511</v>
      </c>
      <c r="AL461" s="18"/>
      <c r="AM461" s="5"/>
      <c r="AN461" s="5"/>
      <c r="AO461" s="7">
        <f t="shared" si="7"/>
        <v>0</v>
      </c>
    </row>
    <row r="462" spans="1:41" s="8" customFormat="1" ht="39.950000000000003" customHeight="1" x14ac:dyDescent="0.25">
      <c r="A462" s="6"/>
      <c r="B462" s="6"/>
      <c r="C462" s="12" t="s">
        <v>20</v>
      </c>
      <c r="D462" s="12" t="s">
        <v>1033</v>
      </c>
      <c r="E462" s="13">
        <v>201070708</v>
      </c>
      <c r="F462" s="14" t="s">
        <v>1028</v>
      </c>
      <c r="G462" s="12" t="s">
        <v>516</v>
      </c>
      <c r="H462" s="6"/>
      <c r="I462" s="12" t="s">
        <v>687</v>
      </c>
      <c r="J462" s="6"/>
      <c r="K462" s="6"/>
      <c r="L462" s="12" t="s">
        <v>839</v>
      </c>
      <c r="M462" s="6"/>
      <c r="N462" s="6"/>
      <c r="O462" s="6"/>
      <c r="P462" s="9"/>
      <c r="Q462" s="9"/>
      <c r="R462" s="9"/>
      <c r="S462" s="9"/>
      <c r="T462" s="9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29">
        <f>41983*7</f>
        <v>293881</v>
      </c>
      <c r="AL462" s="18"/>
      <c r="AM462" s="5"/>
      <c r="AN462" s="5"/>
      <c r="AO462" s="7">
        <f t="shared" si="7"/>
        <v>0</v>
      </c>
    </row>
    <row r="463" spans="1:41" s="8" customFormat="1" ht="39.950000000000003" customHeight="1" x14ac:dyDescent="0.25">
      <c r="A463" s="6"/>
      <c r="B463" s="6"/>
      <c r="C463" s="12" t="s">
        <v>20</v>
      </c>
      <c r="D463" s="12" t="s">
        <v>1033</v>
      </c>
      <c r="E463" s="13">
        <v>201070808</v>
      </c>
      <c r="F463" s="14" t="s">
        <v>1029</v>
      </c>
      <c r="G463" s="12" t="s">
        <v>516</v>
      </c>
      <c r="H463" s="6"/>
      <c r="I463" s="12" t="s">
        <v>687</v>
      </c>
      <c r="J463" s="6"/>
      <c r="K463" s="6"/>
      <c r="L463" s="12" t="s">
        <v>839</v>
      </c>
      <c r="M463" s="6"/>
      <c r="N463" s="6"/>
      <c r="O463" s="6"/>
      <c r="P463" s="9"/>
      <c r="Q463" s="9"/>
      <c r="R463" s="9"/>
      <c r="S463" s="9"/>
      <c r="T463" s="9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29">
        <f>49670*7</f>
        <v>347690</v>
      </c>
      <c r="AL463" s="18"/>
      <c r="AM463" s="5"/>
      <c r="AN463" s="5"/>
      <c r="AO463" s="7">
        <f t="shared" si="7"/>
        <v>0</v>
      </c>
    </row>
    <row r="464" spans="1:41" s="8" customFormat="1" ht="39.950000000000003" customHeight="1" x14ac:dyDescent="0.25">
      <c r="A464" s="6"/>
      <c r="B464" s="6"/>
      <c r="C464" s="12" t="s">
        <v>20</v>
      </c>
      <c r="D464" s="12" t="s">
        <v>1033</v>
      </c>
      <c r="E464" s="13">
        <v>201070908</v>
      </c>
      <c r="F464" s="14" t="s">
        <v>1030</v>
      </c>
      <c r="G464" s="12" t="s">
        <v>516</v>
      </c>
      <c r="H464" s="6"/>
      <c r="I464" s="12" t="s">
        <v>687</v>
      </c>
      <c r="J464" s="6"/>
      <c r="K464" s="6"/>
      <c r="L464" s="12" t="s">
        <v>839</v>
      </c>
      <c r="M464" s="6"/>
      <c r="N464" s="6"/>
      <c r="O464" s="6"/>
      <c r="P464" s="9"/>
      <c r="Q464" s="9"/>
      <c r="R464" s="9"/>
      <c r="S464" s="9"/>
      <c r="T464" s="9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29">
        <f>20472*7</f>
        <v>143304</v>
      </c>
      <c r="AL464" s="18"/>
      <c r="AM464" s="5"/>
      <c r="AN464" s="5"/>
      <c r="AO464" s="7">
        <f t="shared" si="7"/>
        <v>0</v>
      </c>
    </row>
    <row r="465" spans="1:41" s="8" customFormat="1" ht="39.950000000000003" customHeight="1" x14ac:dyDescent="0.25">
      <c r="A465" s="6"/>
      <c r="B465" s="6"/>
      <c r="C465" s="12" t="s">
        <v>20</v>
      </c>
      <c r="D465" s="12" t="s">
        <v>1033</v>
      </c>
      <c r="E465" s="13">
        <v>201071608</v>
      </c>
      <c r="F465" s="14" t="s">
        <v>1031</v>
      </c>
      <c r="G465" s="12" t="s">
        <v>516</v>
      </c>
      <c r="H465" s="6"/>
      <c r="I465" s="12" t="s">
        <v>687</v>
      </c>
      <c r="J465" s="6"/>
      <c r="K465" s="6"/>
      <c r="L465" s="12" t="s">
        <v>839</v>
      </c>
      <c r="M465" s="6"/>
      <c r="N465" s="6"/>
      <c r="O465" s="6"/>
      <c r="P465" s="9"/>
      <c r="Q465" s="9"/>
      <c r="R465" s="9"/>
      <c r="S465" s="9"/>
      <c r="T465" s="9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29">
        <v>800</v>
      </c>
      <c r="AL465" s="18"/>
      <c r="AM465" s="5"/>
      <c r="AN465" s="5"/>
      <c r="AO465" s="7">
        <f t="shared" si="7"/>
        <v>0</v>
      </c>
    </row>
    <row r="466" spans="1:41" s="8" customFormat="1" ht="39.950000000000003" customHeight="1" x14ac:dyDescent="0.25">
      <c r="A466" s="6"/>
      <c r="B466" s="6"/>
      <c r="C466" s="12" t="s">
        <v>20</v>
      </c>
      <c r="D466" s="12" t="s">
        <v>514</v>
      </c>
      <c r="E466" s="13">
        <v>201071108</v>
      </c>
      <c r="F466" s="14" t="s">
        <v>515</v>
      </c>
      <c r="G466" s="12" t="s">
        <v>516</v>
      </c>
      <c r="H466" s="6"/>
      <c r="I466" s="12" t="s">
        <v>687</v>
      </c>
      <c r="J466" s="6"/>
      <c r="K466" s="6"/>
      <c r="L466" s="12" t="s">
        <v>874</v>
      </c>
      <c r="M466" s="6"/>
      <c r="N466" s="6"/>
      <c r="O466" s="6"/>
      <c r="P466" s="9"/>
      <c r="Q466" s="9"/>
      <c r="R466" s="9"/>
      <c r="S466" s="9"/>
      <c r="T466" s="9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29">
        <f>4720*7</f>
        <v>33040</v>
      </c>
      <c r="AL466" s="18"/>
      <c r="AM466" s="5"/>
      <c r="AN466" s="5"/>
      <c r="AO466" s="7">
        <f t="shared" si="7"/>
        <v>0</v>
      </c>
    </row>
    <row r="467" spans="1:41" s="8" customFormat="1" ht="39.950000000000003" customHeight="1" x14ac:dyDescent="0.25">
      <c r="A467" s="6"/>
      <c r="B467" s="6"/>
      <c r="C467" s="12" t="s">
        <v>20</v>
      </c>
      <c r="D467" s="12" t="s">
        <v>514</v>
      </c>
      <c r="E467" s="13">
        <v>201071208</v>
      </c>
      <c r="F467" s="14" t="s">
        <v>517</v>
      </c>
      <c r="G467" s="12" t="s">
        <v>516</v>
      </c>
      <c r="H467" s="6"/>
      <c r="I467" s="12" t="s">
        <v>687</v>
      </c>
      <c r="J467" s="6"/>
      <c r="K467" s="6"/>
      <c r="L467" s="12" t="s">
        <v>874</v>
      </c>
      <c r="M467" s="6"/>
      <c r="N467" s="6"/>
      <c r="O467" s="6"/>
      <c r="P467" s="9"/>
      <c r="Q467" s="9"/>
      <c r="R467" s="9"/>
      <c r="S467" s="9"/>
      <c r="T467" s="9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29">
        <f>5719*7</f>
        <v>40033</v>
      </c>
      <c r="AL467" s="18"/>
      <c r="AM467" s="5"/>
      <c r="AN467" s="5"/>
      <c r="AO467" s="7">
        <f t="shared" si="7"/>
        <v>0</v>
      </c>
    </row>
    <row r="468" spans="1:41" s="8" customFormat="1" ht="39.950000000000003" customHeight="1" x14ac:dyDescent="0.25">
      <c r="A468" s="6"/>
      <c r="B468" s="6"/>
      <c r="C468" s="12" t="s">
        <v>20</v>
      </c>
      <c r="D468" s="12" t="s">
        <v>514</v>
      </c>
      <c r="E468" s="13">
        <v>201071308</v>
      </c>
      <c r="F468" s="14" t="s">
        <v>518</v>
      </c>
      <c r="G468" s="12" t="s">
        <v>516</v>
      </c>
      <c r="H468" s="6"/>
      <c r="I468" s="12" t="s">
        <v>687</v>
      </c>
      <c r="J468" s="6"/>
      <c r="K468" s="6"/>
      <c r="L468" s="12" t="s">
        <v>874</v>
      </c>
      <c r="M468" s="6"/>
      <c r="N468" s="6"/>
      <c r="O468" s="6"/>
      <c r="P468" s="9"/>
      <c r="Q468" s="9"/>
      <c r="R468" s="9"/>
      <c r="S468" s="9"/>
      <c r="T468" s="9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29">
        <f>2600*7</f>
        <v>18200</v>
      </c>
      <c r="AL468" s="18"/>
      <c r="AM468" s="5"/>
      <c r="AN468" s="5"/>
      <c r="AO468" s="7">
        <f t="shared" si="7"/>
        <v>0</v>
      </c>
    </row>
    <row r="469" spans="1:41" s="8" customFormat="1" ht="39.950000000000003" customHeight="1" x14ac:dyDescent="0.25">
      <c r="A469" s="6"/>
      <c r="B469" s="6"/>
      <c r="C469" s="12" t="s">
        <v>20</v>
      </c>
      <c r="D469" s="12" t="s">
        <v>514</v>
      </c>
      <c r="E469" s="13">
        <v>201071408</v>
      </c>
      <c r="F469" s="14" t="s">
        <v>519</v>
      </c>
      <c r="G469" s="12" t="s">
        <v>516</v>
      </c>
      <c r="H469" s="6"/>
      <c r="I469" s="12" t="s">
        <v>687</v>
      </c>
      <c r="J469" s="6"/>
      <c r="K469" s="6"/>
      <c r="L469" s="12" t="s">
        <v>874</v>
      </c>
      <c r="M469" s="6"/>
      <c r="N469" s="6"/>
      <c r="O469" s="6"/>
      <c r="P469" s="9"/>
      <c r="Q469" s="9"/>
      <c r="R469" s="9"/>
      <c r="S469" s="9"/>
      <c r="T469" s="9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29">
        <f>1207*7</f>
        <v>8449</v>
      </c>
      <c r="AL469" s="18"/>
      <c r="AM469" s="5"/>
      <c r="AN469" s="5"/>
      <c r="AO469" s="7">
        <f t="shared" si="7"/>
        <v>0</v>
      </c>
    </row>
    <row r="470" spans="1:41" s="8" customFormat="1" ht="39.950000000000003" customHeight="1" x14ac:dyDescent="0.25">
      <c r="A470" s="6"/>
      <c r="B470" s="6"/>
      <c r="C470" s="12" t="s">
        <v>20</v>
      </c>
      <c r="D470" s="12" t="s">
        <v>431</v>
      </c>
      <c r="E470" s="13">
        <v>201080110</v>
      </c>
      <c r="F470" s="14" t="s">
        <v>432</v>
      </c>
      <c r="G470" s="12" t="s">
        <v>94</v>
      </c>
      <c r="H470" s="6"/>
      <c r="I470" s="12" t="s">
        <v>670</v>
      </c>
      <c r="J470" s="6"/>
      <c r="K470" s="6"/>
      <c r="L470" s="12" t="s">
        <v>847</v>
      </c>
      <c r="M470" s="6"/>
      <c r="N470" s="6"/>
      <c r="O470" s="6"/>
      <c r="P470" s="9"/>
      <c r="Q470" s="9"/>
      <c r="R470" s="9"/>
      <c r="S470" s="9"/>
      <c r="T470" s="9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29">
        <f>216*7</f>
        <v>1512</v>
      </c>
      <c r="AL470" s="18"/>
      <c r="AM470" s="5"/>
      <c r="AN470" s="5"/>
      <c r="AO470" s="7">
        <f t="shared" si="7"/>
        <v>0</v>
      </c>
    </row>
    <row r="471" spans="1:41" s="8" customFormat="1" ht="39.950000000000003" customHeight="1" x14ac:dyDescent="0.25">
      <c r="A471" s="6"/>
      <c r="B471" s="6"/>
      <c r="C471" s="12" t="s">
        <v>20</v>
      </c>
      <c r="D471" s="12" t="s">
        <v>431</v>
      </c>
      <c r="E471" s="13">
        <v>201080210</v>
      </c>
      <c r="F471" s="14" t="s">
        <v>433</v>
      </c>
      <c r="G471" s="12" t="s">
        <v>94</v>
      </c>
      <c r="H471" s="6"/>
      <c r="I471" s="12" t="s">
        <v>670</v>
      </c>
      <c r="J471" s="6"/>
      <c r="K471" s="6"/>
      <c r="L471" s="12" t="s">
        <v>847</v>
      </c>
      <c r="M471" s="6"/>
      <c r="N471" s="6"/>
      <c r="O471" s="6"/>
      <c r="P471" s="9"/>
      <c r="Q471" s="9"/>
      <c r="R471" s="9"/>
      <c r="S471" s="9"/>
      <c r="T471" s="9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29">
        <f>1034*7</f>
        <v>7238</v>
      </c>
      <c r="AL471" s="18"/>
      <c r="AM471" s="5"/>
      <c r="AN471" s="5"/>
      <c r="AO471" s="7">
        <f t="shared" si="7"/>
        <v>0</v>
      </c>
    </row>
    <row r="472" spans="1:41" s="8" customFormat="1" ht="39.950000000000003" customHeight="1" x14ac:dyDescent="0.25">
      <c r="A472" s="6"/>
      <c r="B472" s="6"/>
      <c r="C472" s="12" t="s">
        <v>20</v>
      </c>
      <c r="D472" s="12" t="s">
        <v>431</v>
      </c>
      <c r="E472" s="13">
        <v>201080310</v>
      </c>
      <c r="F472" s="14" t="s">
        <v>434</v>
      </c>
      <c r="G472" s="12" t="s">
        <v>94</v>
      </c>
      <c r="H472" s="6"/>
      <c r="I472" s="12" t="s">
        <v>670</v>
      </c>
      <c r="J472" s="6"/>
      <c r="K472" s="6"/>
      <c r="L472" s="12" t="s">
        <v>847</v>
      </c>
      <c r="M472" s="6"/>
      <c r="N472" s="6"/>
      <c r="O472" s="6"/>
      <c r="P472" s="9"/>
      <c r="Q472" s="9"/>
      <c r="R472" s="9"/>
      <c r="S472" s="9"/>
      <c r="T472" s="9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29">
        <f>123*7</f>
        <v>861</v>
      </c>
      <c r="AL472" s="18"/>
      <c r="AM472" s="5"/>
      <c r="AN472" s="5"/>
      <c r="AO472" s="7">
        <f t="shared" si="7"/>
        <v>0</v>
      </c>
    </row>
    <row r="473" spans="1:41" s="8" customFormat="1" ht="39.950000000000003" customHeight="1" x14ac:dyDescent="0.25">
      <c r="A473" s="6"/>
      <c r="B473" s="6"/>
      <c r="C473" s="12" t="s">
        <v>20</v>
      </c>
      <c r="D473" s="12" t="s">
        <v>431</v>
      </c>
      <c r="E473" s="13">
        <v>201080410</v>
      </c>
      <c r="F473" s="14" t="s">
        <v>435</v>
      </c>
      <c r="G473" s="12" t="s">
        <v>94</v>
      </c>
      <c r="H473" s="6"/>
      <c r="I473" s="12" t="s">
        <v>670</v>
      </c>
      <c r="J473" s="6"/>
      <c r="K473" s="6"/>
      <c r="L473" s="12" t="s">
        <v>847</v>
      </c>
      <c r="M473" s="6"/>
      <c r="N473" s="6"/>
      <c r="O473" s="6"/>
      <c r="P473" s="9"/>
      <c r="Q473" s="9"/>
      <c r="R473" s="9"/>
      <c r="S473" s="9"/>
      <c r="T473" s="9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29">
        <f>648*7</f>
        <v>4536</v>
      </c>
      <c r="AL473" s="18"/>
      <c r="AM473" s="5"/>
      <c r="AN473" s="5"/>
      <c r="AO473" s="7">
        <f t="shared" si="7"/>
        <v>0</v>
      </c>
    </row>
    <row r="474" spans="1:41" s="8" customFormat="1" ht="39.950000000000003" customHeight="1" x14ac:dyDescent="0.25">
      <c r="A474" s="6"/>
      <c r="B474" s="6"/>
      <c r="C474" s="12" t="s">
        <v>20</v>
      </c>
      <c r="D474" s="12" t="s">
        <v>431</v>
      </c>
      <c r="E474" s="13">
        <v>201080510</v>
      </c>
      <c r="F474" s="14" t="s">
        <v>436</v>
      </c>
      <c r="G474" s="12" t="s">
        <v>94</v>
      </c>
      <c r="H474" s="6"/>
      <c r="I474" s="12" t="s">
        <v>670</v>
      </c>
      <c r="J474" s="6"/>
      <c r="K474" s="6"/>
      <c r="L474" s="12" t="s">
        <v>847</v>
      </c>
      <c r="M474" s="6"/>
      <c r="N474" s="6"/>
      <c r="O474" s="6"/>
      <c r="P474" s="9"/>
      <c r="Q474" s="9"/>
      <c r="R474" s="9"/>
      <c r="S474" s="9"/>
      <c r="T474" s="9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29">
        <f>343*7</f>
        <v>2401</v>
      </c>
      <c r="AL474" s="18"/>
      <c r="AM474" s="5"/>
      <c r="AN474" s="5"/>
      <c r="AO474" s="7">
        <f t="shared" ref="AO474:AO537" si="8">(AM474*AN474+AM474)*AL474</f>
        <v>0</v>
      </c>
    </row>
    <row r="475" spans="1:41" s="8" customFormat="1" ht="39.950000000000003" customHeight="1" x14ac:dyDescent="0.25">
      <c r="A475" s="6"/>
      <c r="B475" s="6"/>
      <c r="C475" s="12" t="s">
        <v>20</v>
      </c>
      <c r="D475" s="12" t="s">
        <v>431</v>
      </c>
      <c r="E475" s="13">
        <v>201080610</v>
      </c>
      <c r="F475" s="14" t="s">
        <v>437</v>
      </c>
      <c r="G475" s="12" t="s">
        <v>94</v>
      </c>
      <c r="H475" s="6"/>
      <c r="I475" s="12" t="s">
        <v>670</v>
      </c>
      <c r="J475" s="6"/>
      <c r="K475" s="6"/>
      <c r="L475" s="12" t="s">
        <v>847</v>
      </c>
      <c r="M475" s="6"/>
      <c r="N475" s="6"/>
      <c r="O475" s="6"/>
      <c r="P475" s="9"/>
      <c r="Q475" s="9"/>
      <c r="R475" s="9"/>
      <c r="S475" s="9"/>
      <c r="T475" s="9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29">
        <f>147*7</f>
        <v>1029</v>
      </c>
      <c r="AL475" s="18"/>
      <c r="AM475" s="5"/>
      <c r="AN475" s="5"/>
      <c r="AO475" s="7">
        <f t="shared" si="8"/>
        <v>0</v>
      </c>
    </row>
    <row r="476" spans="1:41" s="8" customFormat="1" ht="39.950000000000003" customHeight="1" x14ac:dyDescent="0.25">
      <c r="A476" s="6"/>
      <c r="B476" s="6"/>
      <c r="C476" s="12" t="s">
        <v>20</v>
      </c>
      <c r="D476" s="12" t="s">
        <v>480</v>
      </c>
      <c r="E476" s="13">
        <v>201090110</v>
      </c>
      <c r="F476" s="14" t="s">
        <v>985</v>
      </c>
      <c r="G476" s="12" t="s">
        <v>94</v>
      </c>
      <c r="H476" s="6"/>
      <c r="I476" s="12" t="s">
        <v>685</v>
      </c>
      <c r="J476" s="6"/>
      <c r="K476" s="6"/>
      <c r="L476" s="12" t="s">
        <v>864</v>
      </c>
      <c r="M476" s="6"/>
      <c r="N476" s="6"/>
      <c r="O476" s="6"/>
      <c r="P476" s="9"/>
      <c r="Q476" s="9"/>
      <c r="R476" s="9"/>
      <c r="S476" s="9"/>
      <c r="T476" s="9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29">
        <f>29900*7</f>
        <v>209300</v>
      </c>
      <c r="AL476" s="18"/>
      <c r="AM476" s="5"/>
      <c r="AN476" s="5"/>
      <c r="AO476" s="7">
        <f t="shared" si="8"/>
        <v>0</v>
      </c>
    </row>
    <row r="477" spans="1:41" s="8" customFormat="1" ht="39.950000000000003" customHeight="1" x14ac:dyDescent="0.25">
      <c r="A477" s="6"/>
      <c r="B477" s="6"/>
      <c r="C477" s="12" t="s">
        <v>20</v>
      </c>
      <c r="D477" s="12" t="s">
        <v>102</v>
      </c>
      <c r="E477" s="13">
        <v>201090310</v>
      </c>
      <c r="F477" s="14" t="s">
        <v>442</v>
      </c>
      <c r="G477" s="12" t="s">
        <v>94</v>
      </c>
      <c r="H477" s="6"/>
      <c r="I477" s="12" t="s">
        <v>670</v>
      </c>
      <c r="J477" s="6"/>
      <c r="K477" s="6"/>
      <c r="L477" s="12" t="s">
        <v>849</v>
      </c>
      <c r="M477" s="6"/>
      <c r="N477" s="6"/>
      <c r="O477" s="6"/>
      <c r="P477" s="9"/>
      <c r="Q477" s="9"/>
      <c r="R477" s="9"/>
      <c r="S477" s="9"/>
      <c r="T477" s="9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29">
        <f>560*7</f>
        <v>3920</v>
      </c>
      <c r="AL477" s="18"/>
      <c r="AM477" s="5"/>
      <c r="AN477" s="5"/>
      <c r="AO477" s="7">
        <f t="shared" si="8"/>
        <v>0</v>
      </c>
    </row>
    <row r="478" spans="1:41" s="8" customFormat="1" ht="39.950000000000003" customHeight="1" x14ac:dyDescent="0.25">
      <c r="A478" s="6"/>
      <c r="B478" s="6"/>
      <c r="C478" s="12" t="s">
        <v>20</v>
      </c>
      <c r="D478" s="12" t="s">
        <v>480</v>
      </c>
      <c r="E478" s="13">
        <v>201090510</v>
      </c>
      <c r="F478" s="14" t="s">
        <v>986</v>
      </c>
      <c r="G478" s="12" t="s">
        <v>94</v>
      </c>
      <c r="H478" s="6"/>
      <c r="I478" s="12" t="s">
        <v>685</v>
      </c>
      <c r="J478" s="6"/>
      <c r="K478" s="6"/>
      <c r="L478" s="12" t="s">
        <v>864</v>
      </c>
      <c r="M478" s="6"/>
      <c r="N478" s="6"/>
      <c r="O478" s="6"/>
      <c r="P478" s="9"/>
      <c r="Q478" s="9"/>
      <c r="R478" s="9"/>
      <c r="S478" s="9"/>
      <c r="T478" s="9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29">
        <f>38600*7</f>
        <v>270200</v>
      </c>
      <c r="AL478" s="18"/>
      <c r="AM478" s="5"/>
      <c r="AN478" s="5"/>
      <c r="AO478" s="7">
        <f t="shared" si="8"/>
        <v>0</v>
      </c>
    </row>
    <row r="479" spans="1:41" s="8" customFormat="1" ht="39.950000000000003" customHeight="1" x14ac:dyDescent="0.25">
      <c r="A479" s="6"/>
      <c r="B479" s="6"/>
      <c r="C479" s="12" t="s">
        <v>20</v>
      </c>
      <c r="D479" s="12" t="s">
        <v>480</v>
      </c>
      <c r="E479" s="13">
        <v>201090610</v>
      </c>
      <c r="F479" s="14" t="s">
        <v>481</v>
      </c>
      <c r="G479" s="12" t="s">
        <v>94</v>
      </c>
      <c r="H479" s="6"/>
      <c r="I479" s="12" t="s">
        <v>685</v>
      </c>
      <c r="J479" s="6"/>
      <c r="K479" s="6"/>
      <c r="L479" s="12" t="s">
        <v>864</v>
      </c>
      <c r="M479" s="6"/>
      <c r="N479" s="6"/>
      <c r="O479" s="6"/>
      <c r="P479" s="9"/>
      <c r="Q479" s="9"/>
      <c r="R479" s="9"/>
      <c r="S479" s="9"/>
      <c r="T479" s="9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29">
        <f>38600*7</f>
        <v>270200</v>
      </c>
      <c r="AL479" s="18"/>
      <c r="AM479" s="5"/>
      <c r="AN479" s="5"/>
      <c r="AO479" s="7">
        <f t="shared" si="8"/>
        <v>0</v>
      </c>
    </row>
    <row r="480" spans="1:41" s="8" customFormat="1" ht="39.950000000000003" customHeight="1" x14ac:dyDescent="0.25">
      <c r="A480" s="6"/>
      <c r="B480" s="6"/>
      <c r="C480" s="12" t="s">
        <v>20</v>
      </c>
      <c r="D480" s="12" t="s">
        <v>480</v>
      </c>
      <c r="E480" s="13">
        <v>201090710</v>
      </c>
      <c r="F480" s="14" t="s">
        <v>482</v>
      </c>
      <c r="G480" s="12" t="s">
        <v>94</v>
      </c>
      <c r="H480" s="6"/>
      <c r="I480" s="12" t="s">
        <v>686</v>
      </c>
      <c r="J480" s="6"/>
      <c r="K480" s="6"/>
      <c r="L480" s="12" t="s">
        <v>864</v>
      </c>
      <c r="M480" s="6"/>
      <c r="N480" s="6"/>
      <c r="O480" s="6"/>
      <c r="P480" s="9"/>
      <c r="Q480" s="9"/>
      <c r="R480" s="9"/>
      <c r="S480" s="9"/>
      <c r="T480" s="9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29">
        <f>5480*7</f>
        <v>38360</v>
      </c>
      <c r="AL480" s="18"/>
      <c r="AM480" s="5"/>
      <c r="AN480" s="5"/>
      <c r="AO480" s="7">
        <f t="shared" si="8"/>
        <v>0</v>
      </c>
    </row>
    <row r="481" spans="1:41" s="8" customFormat="1" ht="39.950000000000003" customHeight="1" x14ac:dyDescent="0.25">
      <c r="A481" s="6"/>
      <c r="B481" s="6"/>
      <c r="C481" s="12" t="s">
        <v>20</v>
      </c>
      <c r="D481" s="12" t="s">
        <v>102</v>
      </c>
      <c r="E481" s="13">
        <v>201090810</v>
      </c>
      <c r="F481" s="14" t="s">
        <v>87</v>
      </c>
      <c r="G481" s="12" t="s">
        <v>94</v>
      </c>
      <c r="H481" s="6"/>
      <c r="I481" s="12" t="s">
        <v>722</v>
      </c>
      <c r="J481" s="6"/>
      <c r="K481" s="6"/>
      <c r="L481" s="12" t="s">
        <v>920</v>
      </c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29">
        <f>3900*7</f>
        <v>27300</v>
      </c>
      <c r="AL481" s="18"/>
      <c r="AM481" s="5"/>
      <c r="AN481" s="5"/>
      <c r="AO481" s="7">
        <f t="shared" si="8"/>
        <v>0</v>
      </c>
    </row>
    <row r="482" spans="1:41" s="8" customFormat="1" ht="39.950000000000003" customHeight="1" x14ac:dyDescent="0.25">
      <c r="A482" s="6"/>
      <c r="B482" s="6"/>
      <c r="C482" s="12" t="s">
        <v>20</v>
      </c>
      <c r="D482" s="12" t="s">
        <v>102</v>
      </c>
      <c r="E482" s="13">
        <v>201094010</v>
      </c>
      <c r="F482" s="14" t="s">
        <v>337</v>
      </c>
      <c r="G482" s="12" t="s">
        <v>94</v>
      </c>
      <c r="H482" s="6"/>
      <c r="I482" s="12" t="s">
        <v>444</v>
      </c>
      <c r="J482" s="6"/>
      <c r="K482" s="6"/>
      <c r="L482" s="12" t="s">
        <v>813</v>
      </c>
      <c r="M482" s="6"/>
      <c r="N482" s="6"/>
      <c r="O482" s="6"/>
      <c r="P482" s="9"/>
      <c r="Q482" s="9"/>
      <c r="R482" s="9"/>
      <c r="S482" s="9"/>
      <c r="T482" s="9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29">
        <f>18*7</f>
        <v>126</v>
      </c>
      <c r="AL482" s="18"/>
      <c r="AM482" s="5"/>
      <c r="AN482" s="5"/>
      <c r="AO482" s="7">
        <f t="shared" si="8"/>
        <v>0</v>
      </c>
    </row>
    <row r="483" spans="1:41" s="8" customFormat="1" ht="39.950000000000003" customHeight="1" x14ac:dyDescent="0.25">
      <c r="A483" s="6"/>
      <c r="B483" s="6"/>
      <c r="C483" s="12" t="s">
        <v>20</v>
      </c>
      <c r="D483" s="12" t="s">
        <v>427</v>
      </c>
      <c r="E483" s="13">
        <v>201100203</v>
      </c>
      <c r="F483" s="14" t="s">
        <v>429</v>
      </c>
      <c r="G483" s="12" t="s">
        <v>428</v>
      </c>
      <c r="H483" s="6"/>
      <c r="I483" s="12" t="s">
        <v>680</v>
      </c>
      <c r="J483" s="6"/>
      <c r="K483" s="6"/>
      <c r="L483" s="12" t="s">
        <v>840</v>
      </c>
      <c r="M483" s="6"/>
      <c r="N483" s="6"/>
      <c r="O483" s="6"/>
      <c r="P483" s="9"/>
      <c r="Q483" s="9"/>
      <c r="R483" s="9"/>
      <c r="S483" s="9"/>
      <c r="T483" s="9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29">
        <f>872*7</f>
        <v>6104</v>
      </c>
      <c r="AL483" s="18"/>
      <c r="AM483" s="5"/>
      <c r="AN483" s="5"/>
      <c r="AO483" s="7">
        <f t="shared" si="8"/>
        <v>0</v>
      </c>
    </row>
    <row r="484" spans="1:41" s="8" customFormat="1" ht="39.950000000000003" customHeight="1" x14ac:dyDescent="0.25">
      <c r="A484" s="6"/>
      <c r="B484" s="6"/>
      <c r="C484" s="12" t="s">
        <v>20</v>
      </c>
      <c r="D484" s="12" t="s">
        <v>427</v>
      </c>
      <c r="E484" s="13">
        <v>201100303</v>
      </c>
      <c r="F484" s="14" t="s">
        <v>430</v>
      </c>
      <c r="G484" s="12" t="s">
        <v>428</v>
      </c>
      <c r="H484" s="6"/>
      <c r="I484" s="12" t="s">
        <v>669</v>
      </c>
      <c r="J484" s="6"/>
      <c r="K484" s="6"/>
      <c r="L484" s="12" t="s">
        <v>840</v>
      </c>
      <c r="M484" s="6"/>
      <c r="N484" s="6"/>
      <c r="O484" s="6"/>
      <c r="P484" s="9"/>
      <c r="Q484" s="9"/>
      <c r="R484" s="9"/>
      <c r="S484" s="9"/>
      <c r="T484" s="9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29">
        <f>1012*7</f>
        <v>7084</v>
      </c>
      <c r="AL484" s="18"/>
      <c r="AM484" s="5"/>
      <c r="AN484" s="5"/>
      <c r="AO484" s="7">
        <f t="shared" si="8"/>
        <v>0</v>
      </c>
    </row>
    <row r="485" spans="1:41" s="8" customFormat="1" ht="39.950000000000003" customHeight="1" x14ac:dyDescent="0.25">
      <c r="A485" s="6"/>
      <c r="B485" s="6"/>
      <c r="C485" s="12" t="s">
        <v>20</v>
      </c>
      <c r="D485" s="12" t="s">
        <v>102</v>
      </c>
      <c r="E485" s="23">
        <v>201100350</v>
      </c>
      <c r="F485" s="24" t="s">
        <v>508</v>
      </c>
      <c r="G485" s="12" t="s">
        <v>94</v>
      </c>
      <c r="H485" s="6"/>
      <c r="I485" s="12" t="s">
        <v>687</v>
      </c>
      <c r="J485" s="6"/>
      <c r="K485" s="6"/>
      <c r="L485" s="12" t="s">
        <v>872</v>
      </c>
      <c r="M485" s="6"/>
      <c r="N485" s="6"/>
      <c r="O485" s="6"/>
      <c r="P485" s="9"/>
      <c r="Q485" s="9"/>
      <c r="R485" s="9"/>
      <c r="S485" s="9"/>
      <c r="T485" s="9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29">
        <f>5107*7</f>
        <v>35749</v>
      </c>
      <c r="AL485" s="18"/>
      <c r="AM485" s="5"/>
      <c r="AN485" s="5"/>
      <c r="AO485" s="7">
        <f t="shared" si="8"/>
        <v>0</v>
      </c>
    </row>
    <row r="486" spans="1:41" s="8" customFormat="1" ht="39.950000000000003" customHeight="1" x14ac:dyDescent="0.25">
      <c r="A486" s="6"/>
      <c r="B486" s="6"/>
      <c r="C486" s="12" t="s">
        <v>20</v>
      </c>
      <c r="D486" s="12" t="s">
        <v>102</v>
      </c>
      <c r="E486" s="13">
        <v>201100802</v>
      </c>
      <c r="F486" s="14" t="s">
        <v>403</v>
      </c>
      <c r="G486" s="12" t="s">
        <v>404</v>
      </c>
      <c r="H486" s="6"/>
      <c r="I486" s="12" t="s">
        <v>669</v>
      </c>
      <c r="J486" s="6"/>
      <c r="K486" s="6"/>
      <c r="L486" s="12" t="s">
        <v>840</v>
      </c>
      <c r="M486" s="6"/>
      <c r="N486" s="6"/>
      <c r="O486" s="6"/>
      <c r="P486" s="9"/>
      <c r="Q486" s="9"/>
      <c r="R486" s="9"/>
      <c r="S486" s="9"/>
      <c r="T486" s="9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29">
        <f>6*7</f>
        <v>42</v>
      </c>
      <c r="AL486" s="18"/>
      <c r="AM486" s="5"/>
      <c r="AN486" s="5"/>
      <c r="AO486" s="7">
        <f t="shared" si="8"/>
        <v>0</v>
      </c>
    </row>
    <row r="487" spans="1:41" s="8" customFormat="1" ht="39.950000000000003" customHeight="1" x14ac:dyDescent="0.25">
      <c r="A487" s="6"/>
      <c r="B487" s="6"/>
      <c r="C487" s="12" t="s">
        <v>20</v>
      </c>
      <c r="D487" s="12" t="s">
        <v>102</v>
      </c>
      <c r="E487" s="13">
        <v>201102110</v>
      </c>
      <c r="F487" s="14" t="s">
        <v>405</v>
      </c>
      <c r="G487" s="12" t="s">
        <v>94</v>
      </c>
      <c r="H487" s="6"/>
      <c r="I487" s="12" t="s">
        <v>670</v>
      </c>
      <c r="J487" s="6"/>
      <c r="K487" s="6"/>
      <c r="L487" s="12" t="s">
        <v>810</v>
      </c>
      <c r="M487" s="6"/>
      <c r="N487" s="6"/>
      <c r="O487" s="6"/>
      <c r="P487" s="9"/>
      <c r="Q487" s="9"/>
      <c r="R487" s="9"/>
      <c r="S487" s="9"/>
      <c r="T487" s="9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29">
        <f>15386*7</f>
        <v>107702</v>
      </c>
      <c r="AL487" s="18"/>
      <c r="AM487" s="5"/>
      <c r="AN487" s="5"/>
      <c r="AO487" s="7">
        <f t="shared" si="8"/>
        <v>0</v>
      </c>
    </row>
    <row r="488" spans="1:41" s="8" customFormat="1" ht="39.950000000000003" customHeight="1" x14ac:dyDescent="0.25">
      <c r="A488" s="6"/>
      <c r="B488" s="6"/>
      <c r="C488" s="12" t="s">
        <v>20</v>
      </c>
      <c r="D488" s="12" t="s">
        <v>494</v>
      </c>
      <c r="E488" s="13">
        <v>201110710</v>
      </c>
      <c r="F488" s="14" t="s">
        <v>495</v>
      </c>
      <c r="G488" s="12" t="s">
        <v>94</v>
      </c>
      <c r="H488" s="6"/>
      <c r="I488" s="12" t="s">
        <v>674</v>
      </c>
      <c r="J488" s="6"/>
      <c r="K488" s="6"/>
      <c r="L488" s="12" t="s">
        <v>1157</v>
      </c>
      <c r="M488" s="6"/>
      <c r="N488" s="6"/>
      <c r="O488" s="6"/>
      <c r="P488" s="9"/>
      <c r="Q488" s="9"/>
      <c r="R488" s="9"/>
      <c r="S488" s="9"/>
      <c r="T488" s="9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29">
        <f>1*7</f>
        <v>7</v>
      </c>
      <c r="AL488" s="18"/>
      <c r="AM488" s="5"/>
      <c r="AN488" s="5"/>
      <c r="AO488" s="7">
        <f t="shared" si="8"/>
        <v>0</v>
      </c>
    </row>
    <row r="489" spans="1:41" s="8" customFormat="1" ht="39.950000000000003" customHeight="1" x14ac:dyDescent="0.25">
      <c r="A489" s="6"/>
      <c r="B489" s="6"/>
      <c r="C489" s="12" t="s">
        <v>20</v>
      </c>
      <c r="D489" s="12" t="s">
        <v>494</v>
      </c>
      <c r="E489" s="13">
        <v>201110910</v>
      </c>
      <c r="F489" s="14" t="s">
        <v>496</v>
      </c>
      <c r="G489" s="12" t="s">
        <v>94</v>
      </c>
      <c r="H489" s="6"/>
      <c r="I489" s="12" t="s">
        <v>674</v>
      </c>
      <c r="J489" s="6"/>
      <c r="K489" s="6"/>
      <c r="L489" s="12" t="s">
        <v>1157</v>
      </c>
      <c r="M489" s="6"/>
      <c r="N489" s="6"/>
      <c r="O489" s="6"/>
      <c r="P489" s="9"/>
      <c r="Q489" s="9"/>
      <c r="R489" s="9"/>
      <c r="S489" s="9"/>
      <c r="T489" s="9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29">
        <f>4.67*7</f>
        <v>32.69</v>
      </c>
      <c r="AL489" s="18"/>
      <c r="AM489" s="5"/>
      <c r="AN489" s="5"/>
      <c r="AO489" s="7">
        <f t="shared" si="8"/>
        <v>0</v>
      </c>
    </row>
    <row r="490" spans="1:41" s="8" customFormat="1" ht="39.950000000000003" customHeight="1" x14ac:dyDescent="0.25">
      <c r="A490" s="6"/>
      <c r="B490" s="6"/>
      <c r="C490" s="12" t="s">
        <v>20</v>
      </c>
      <c r="D490" s="12" t="s">
        <v>494</v>
      </c>
      <c r="E490" s="13">
        <v>201111010</v>
      </c>
      <c r="F490" s="14" t="s">
        <v>497</v>
      </c>
      <c r="G490" s="12" t="s">
        <v>94</v>
      </c>
      <c r="H490" s="6"/>
      <c r="I490" s="12" t="s">
        <v>674</v>
      </c>
      <c r="J490" s="6"/>
      <c r="K490" s="6"/>
      <c r="L490" s="12" t="s">
        <v>1157</v>
      </c>
      <c r="M490" s="6"/>
      <c r="N490" s="6"/>
      <c r="O490" s="6"/>
      <c r="P490" s="9"/>
      <c r="Q490" s="9"/>
      <c r="R490" s="9"/>
      <c r="S490" s="9"/>
      <c r="T490" s="9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29">
        <f>1*7</f>
        <v>7</v>
      </c>
      <c r="AL490" s="18"/>
      <c r="AM490" s="5"/>
      <c r="AN490" s="5"/>
      <c r="AO490" s="7">
        <f t="shared" si="8"/>
        <v>0</v>
      </c>
    </row>
    <row r="491" spans="1:41" s="8" customFormat="1" ht="39.950000000000003" customHeight="1" x14ac:dyDescent="0.25">
      <c r="A491" s="6"/>
      <c r="B491" s="6"/>
      <c r="C491" s="12" t="s">
        <v>20</v>
      </c>
      <c r="D491" s="12" t="s">
        <v>105</v>
      </c>
      <c r="E491" s="13">
        <v>201111310</v>
      </c>
      <c r="F491" s="14" t="s">
        <v>88</v>
      </c>
      <c r="G491" s="12" t="s">
        <v>94</v>
      </c>
      <c r="H491" s="6"/>
      <c r="I491" s="12" t="s">
        <v>723</v>
      </c>
      <c r="J491" s="6"/>
      <c r="K491" s="6"/>
      <c r="L491" s="12" t="s">
        <v>1158</v>
      </c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29">
        <f>2*7</f>
        <v>14</v>
      </c>
      <c r="AL491" s="18"/>
      <c r="AM491" s="5"/>
      <c r="AN491" s="5"/>
      <c r="AO491" s="7">
        <f t="shared" si="8"/>
        <v>0</v>
      </c>
    </row>
    <row r="492" spans="1:41" s="8" customFormat="1" ht="39.950000000000003" customHeight="1" x14ac:dyDescent="0.25">
      <c r="A492" s="6"/>
      <c r="B492" s="6"/>
      <c r="C492" s="12" t="s">
        <v>20</v>
      </c>
      <c r="D492" s="12" t="s">
        <v>105</v>
      </c>
      <c r="E492" s="13">
        <v>201111410</v>
      </c>
      <c r="F492" s="14" t="s">
        <v>1159</v>
      </c>
      <c r="G492" s="12" t="s">
        <v>94</v>
      </c>
      <c r="H492" s="6"/>
      <c r="I492" s="12" t="s">
        <v>723</v>
      </c>
      <c r="J492" s="6"/>
      <c r="K492" s="6"/>
      <c r="L492" s="12" t="s">
        <v>1158</v>
      </c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29">
        <f>2*7</f>
        <v>14</v>
      </c>
      <c r="AL492" s="18"/>
      <c r="AM492" s="5"/>
      <c r="AN492" s="5"/>
      <c r="AO492" s="7">
        <f t="shared" si="8"/>
        <v>0</v>
      </c>
    </row>
    <row r="493" spans="1:41" s="8" customFormat="1" ht="39.950000000000003" customHeight="1" x14ac:dyDescent="0.25">
      <c r="A493" s="6"/>
      <c r="B493" s="6"/>
      <c r="C493" s="12" t="s">
        <v>20</v>
      </c>
      <c r="D493" s="12" t="s">
        <v>105</v>
      </c>
      <c r="E493" s="13">
        <v>201111510</v>
      </c>
      <c r="F493" s="14" t="s">
        <v>89</v>
      </c>
      <c r="G493" s="12" t="s">
        <v>94</v>
      </c>
      <c r="H493" s="6"/>
      <c r="I493" s="12" t="s">
        <v>723</v>
      </c>
      <c r="J493" s="6"/>
      <c r="K493" s="6"/>
      <c r="L493" s="12" t="s">
        <v>921</v>
      </c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29">
        <f>12.5*7</f>
        <v>87.5</v>
      </c>
      <c r="AL493" s="18"/>
      <c r="AM493" s="5"/>
      <c r="AN493" s="5"/>
      <c r="AO493" s="7">
        <f t="shared" si="8"/>
        <v>0</v>
      </c>
    </row>
    <row r="494" spans="1:41" s="8" customFormat="1" ht="39.950000000000003" customHeight="1" x14ac:dyDescent="0.25">
      <c r="A494" s="6"/>
      <c r="B494" s="6"/>
      <c r="C494" s="12" t="s">
        <v>20</v>
      </c>
      <c r="D494" s="12" t="s">
        <v>105</v>
      </c>
      <c r="E494" s="13">
        <v>201111610</v>
      </c>
      <c r="F494" s="14" t="s">
        <v>90</v>
      </c>
      <c r="G494" s="12" t="s">
        <v>94</v>
      </c>
      <c r="H494" s="6"/>
      <c r="I494" s="12" t="s">
        <v>723</v>
      </c>
      <c r="J494" s="6"/>
      <c r="K494" s="6"/>
      <c r="L494" s="12" t="s">
        <v>921</v>
      </c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29">
        <f>15.25*7</f>
        <v>106.75</v>
      </c>
      <c r="AL494" s="18"/>
      <c r="AM494" s="5"/>
      <c r="AN494" s="5"/>
      <c r="AO494" s="7">
        <f t="shared" si="8"/>
        <v>0</v>
      </c>
    </row>
    <row r="495" spans="1:41" s="8" customFormat="1" ht="39.950000000000003" customHeight="1" x14ac:dyDescent="0.25">
      <c r="A495" s="6"/>
      <c r="B495" s="6"/>
      <c r="C495" s="12" t="s">
        <v>20</v>
      </c>
      <c r="D495" s="12" t="s">
        <v>105</v>
      </c>
      <c r="E495" s="13">
        <v>201111710</v>
      </c>
      <c r="F495" s="14" t="s">
        <v>91</v>
      </c>
      <c r="G495" s="12" t="s">
        <v>94</v>
      </c>
      <c r="H495" s="6"/>
      <c r="I495" s="12" t="s">
        <v>723</v>
      </c>
      <c r="J495" s="6"/>
      <c r="K495" s="6"/>
      <c r="L495" s="12" t="s">
        <v>921</v>
      </c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29">
        <f>182.67*7</f>
        <v>1278.6899999999998</v>
      </c>
      <c r="AL495" s="18"/>
      <c r="AM495" s="5"/>
      <c r="AN495" s="5"/>
      <c r="AO495" s="7">
        <f t="shared" si="8"/>
        <v>0</v>
      </c>
    </row>
    <row r="496" spans="1:41" s="8" customFormat="1" ht="39.950000000000003" customHeight="1" x14ac:dyDescent="0.25">
      <c r="A496" s="15"/>
      <c r="B496" s="15"/>
      <c r="C496" s="12" t="s">
        <v>20</v>
      </c>
      <c r="D496" s="12" t="s">
        <v>105</v>
      </c>
      <c r="E496" s="13">
        <v>201111810</v>
      </c>
      <c r="F496" s="14" t="s">
        <v>92</v>
      </c>
      <c r="G496" s="12" t="s">
        <v>94</v>
      </c>
      <c r="H496" s="15"/>
      <c r="I496" s="12" t="s">
        <v>713</v>
      </c>
      <c r="J496" s="15"/>
      <c r="K496" s="15"/>
      <c r="L496" s="12" t="s">
        <v>922</v>
      </c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29">
        <f>262.25*7</f>
        <v>1835.75</v>
      </c>
      <c r="AL496" s="18"/>
      <c r="AM496" s="15"/>
      <c r="AN496" s="15"/>
      <c r="AO496" s="7">
        <f t="shared" si="8"/>
        <v>0</v>
      </c>
    </row>
    <row r="497" spans="1:41" s="8" customFormat="1" ht="39.950000000000003" customHeight="1" x14ac:dyDescent="0.25">
      <c r="A497" s="15"/>
      <c r="B497" s="15"/>
      <c r="C497" s="12" t="s">
        <v>20</v>
      </c>
      <c r="D497" s="12" t="s">
        <v>105</v>
      </c>
      <c r="E497" s="13">
        <v>201111910</v>
      </c>
      <c r="F497" s="14" t="s">
        <v>93</v>
      </c>
      <c r="G497" s="12" t="s">
        <v>94</v>
      </c>
      <c r="H497" s="15"/>
      <c r="I497" s="12" t="s">
        <v>713</v>
      </c>
      <c r="J497" s="15"/>
      <c r="K497" s="15"/>
      <c r="L497" s="12" t="s">
        <v>922</v>
      </c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29">
        <f>398*7</f>
        <v>2786</v>
      </c>
      <c r="AL497" s="18"/>
      <c r="AM497" s="15"/>
      <c r="AN497" s="15"/>
      <c r="AO497" s="7">
        <f t="shared" si="8"/>
        <v>0</v>
      </c>
    </row>
    <row r="498" spans="1:41" s="8" customFormat="1" ht="39.950000000000003" customHeight="1" x14ac:dyDescent="0.25">
      <c r="A498" s="15"/>
      <c r="B498" s="15"/>
      <c r="C498" s="12" t="s">
        <v>20</v>
      </c>
      <c r="D498" s="12" t="s">
        <v>102</v>
      </c>
      <c r="E498" s="23">
        <v>201111914</v>
      </c>
      <c r="F498" s="24" t="s">
        <v>1160</v>
      </c>
      <c r="G498" s="12" t="s">
        <v>94</v>
      </c>
      <c r="H498" s="15"/>
      <c r="I498" s="12" t="s">
        <v>713</v>
      </c>
      <c r="J498" s="15"/>
      <c r="K498" s="15"/>
      <c r="L498" s="12" t="s">
        <v>921</v>
      </c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29">
        <f>45.75*7</f>
        <v>320.25</v>
      </c>
      <c r="AL498" s="18"/>
      <c r="AM498" s="15"/>
      <c r="AN498" s="15"/>
      <c r="AO498" s="7">
        <f t="shared" si="8"/>
        <v>0</v>
      </c>
    </row>
    <row r="499" spans="1:41" s="8" customFormat="1" ht="39.950000000000003" customHeight="1" x14ac:dyDescent="0.25">
      <c r="A499" s="15"/>
      <c r="B499" s="15"/>
      <c r="C499" s="12" t="s">
        <v>20</v>
      </c>
      <c r="D499" s="12" t="s">
        <v>105</v>
      </c>
      <c r="E499" s="13">
        <v>201112010</v>
      </c>
      <c r="F499" s="14" t="s">
        <v>95</v>
      </c>
      <c r="G499" s="12" t="s">
        <v>94</v>
      </c>
      <c r="H499" s="15"/>
      <c r="I499" s="12" t="s">
        <v>713</v>
      </c>
      <c r="J499" s="15"/>
      <c r="K499" s="15"/>
      <c r="L499" s="12" t="s">
        <v>921</v>
      </c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29">
        <f>245.5*7</f>
        <v>1718.5</v>
      </c>
      <c r="AL499" s="18"/>
      <c r="AM499" s="15"/>
      <c r="AN499" s="15"/>
      <c r="AO499" s="7">
        <f t="shared" si="8"/>
        <v>0</v>
      </c>
    </row>
    <row r="500" spans="1:41" s="8" customFormat="1" ht="39.950000000000003" customHeight="1" x14ac:dyDescent="0.25">
      <c r="A500" s="15"/>
      <c r="B500" s="15"/>
      <c r="C500" s="12" t="s">
        <v>20</v>
      </c>
      <c r="D500" s="12" t="s">
        <v>105</v>
      </c>
      <c r="E500" s="13">
        <v>201112022</v>
      </c>
      <c r="F500" s="14" t="s">
        <v>96</v>
      </c>
      <c r="G500" s="12" t="s">
        <v>94</v>
      </c>
      <c r="H500" s="15"/>
      <c r="I500" s="12" t="s">
        <v>723</v>
      </c>
      <c r="J500" s="15"/>
      <c r="K500" s="15"/>
      <c r="L500" s="12" t="s">
        <v>921</v>
      </c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29">
        <f>7.83*7</f>
        <v>54.81</v>
      </c>
      <c r="AL500" s="18"/>
      <c r="AM500" s="15"/>
      <c r="AN500" s="15"/>
      <c r="AO500" s="7">
        <f t="shared" si="8"/>
        <v>0</v>
      </c>
    </row>
    <row r="501" spans="1:41" s="8" customFormat="1" ht="39.950000000000003" customHeight="1" x14ac:dyDescent="0.25">
      <c r="A501" s="6"/>
      <c r="B501" s="6"/>
      <c r="C501" s="12" t="s">
        <v>20</v>
      </c>
      <c r="D501" s="12" t="s">
        <v>486</v>
      </c>
      <c r="E501" s="13">
        <v>201112510</v>
      </c>
      <c r="F501" s="14" t="s">
        <v>487</v>
      </c>
      <c r="G501" s="12" t="s">
        <v>94</v>
      </c>
      <c r="H501" s="6"/>
      <c r="I501" s="12" t="s">
        <v>674</v>
      </c>
      <c r="J501" s="6"/>
      <c r="K501" s="6"/>
      <c r="L501" s="12" t="s">
        <v>865</v>
      </c>
      <c r="M501" s="6"/>
      <c r="N501" s="6"/>
      <c r="O501" s="6"/>
      <c r="P501" s="9"/>
      <c r="Q501" s="9"/>
      <c r="R501" s="9"/>
      <c r="S501" s="9"/>
      <c r="T501" s="9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29">
        <f>7*7</f>
        <v>49</v>
      </c>
      <c r="AL501" s="18"/>
      <c r="AM501" s="5"/>
      <c r="AN501" s="5"/>
      <c r="AO501" s="7">
        <f t="shared" si="8"/>
        <v>0</v>
      </c>
    </row>
    <row r="502" spans="1:41" s="8" customFormat="1" ht="39.950000000000003" customHeight="1" x14ac:dyDescent="0.25">
      <c r="A502" s="6"/>
      <c r="B502" s="6"/>
      <c r="C502" s="12" t="s">
        <v>20</v>
      </c>
      <c r="D502" s="12" t="s">
        <v>486</v>
      </c>
      <c r="E502" s="13">
        <v>201112610</v>
      </c>
      <c r="F502" s="14" t="s">
        <v>488</v>
      </c>
      <c r="G502" s="12" t="s">
        <v>94</v>
      </c>
      <c r="H502" s="6"/>
      <c r="I502" s="12" t="s">
        <v>674</v>
      </c>
      <c r="J502" s="6"/>
      <c r="K502" s="6"/>
      <c r="L502" s="12" t="s">
        <v>865</v>
      </c>
      <c r="M502" s="6"/>
      <c r="N502" s="6"/>
      <c r="O502" s="6"/>
      <c r="P502" s="9"/>
      <c r="Q502" s="9"/>
      <c r="R502" s="9"/>
      <c r="S502" s="9"/>
      <c r="T502" s="9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29">
        <f>12.67*7</f>
        <v>88.69</v>
      </c>
      <c r="AL502" s="18"/>
      <c r="AM502" s="5"/>
      <c r="AN502" s="5"/>
      <c r="AO502" s="7">
        <f t="shared" si="8"/>
        <v>0</v>
      </c>
    </row>
    <row r="503" spans="1:41" s="8" customFormat="1" ht="39.950000000000003" customHeight="1" x14ac:dyDescent="0.25">
      <c r="A503" s="6"/>
      <c r="B503" s="6"/>
      <c r="C503" s="12" t="s">
        <v>20</v>
      </c>
      <c r="D503" s="12" t="s">
        <v>486</v>
      </c>
      <c r="E503" s="13">
        <v>201112710</v>
      </c>
      <c r="F503" s="14" t="s">
        <v>489</v>
      </c>
      <c r="G503" s="12" t="s">
        <v>94</v>
      </c>
      <c r="H503" s="6"/>
      <c r="I503" s="12" t="s">
        <v>674</v>
      </c>
      <c r="J503" s="6"/>
      <c r="K503" s="6"/>
      <c r="L503" s="12" t="s">
        <v>865</v>
      </c>
      <c r="M503" s="6"/>
      <c r="N503" s="6"/>
      <c r="O503" s="6"/>
      <c r="P503" s="9"/>
      <c r="Q503" s="9"/>
      <c r="R503" s="9"/>
      <c r="S503" s="9"/>
      <c r="T503" s="9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29">
        <f>7.5*7</f>
        <v>52.5</v>
      </c>
      <c r="AL503" s="18"/>
      <c r="AM503" s="5"/>
      <c r="AN503" s="5"/>
      <c r="AO503" s="7">
        <f t="shared" si="8"/>
        <v>0</v>
      </c>
    </row>
    <row r="504" spans="1:41" s="8" customFormat="1" ht="39.950000000000003" customHeight="1" x14ac:dyDescent="0.25">
      <c r="A504" s="6"/>
      <c r="B504" s="6"/>
      <c r="C504" s="12" t="s">
        <v>20</v>
      </c>
      <c r="D504" s="12" t="s">
        <v>486</v>
      </c>
      <c r="E504" s="13">
        <v>201112810</v>
      </c>
      <c r="F504" s="14" t="s">
        <v>490</v>
      </c>
      <c r="G504" s="12" t="s">
        <v>94</v>
      </c>
      <c r="H504" s="6"/>
      <c r="I504" s="12" t="s">
        <v>674</v>
      </c>
      <c r="J504" s="6"/>
      <c r="K504" s="6"/>
      <c r="L504" s="12" t="s">
        <v>865</v>
      </c>
      <c r="M504" s="6"/>
      <c r="N504" s="6"/>
      <c r="O504" s="6"/>
      <c r="P504" s="9"/>
      <c r="Q504" s="9"/>
      <c r="R504" s="9"/>
      <c r="S504" s="9"/>
      <c r="T504" s="9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29">
        <f>5.33*7</f>
        <v>37.31</v>
      </c>
      <c r="AL504" s="18"/>
      <c r="AM504" s="5"/>
      <c r="AN504" s="5"/>
      <c r="AO504" s="7">
        <f t="shared" si="8"/>
        <v>0</v>
      </c>
    </row>
    <row r="505" spans="1:41" s="8" customFormat="1" ht="39.950000000000003" customHeight="1" x14ac:dyDescent="0.25">
      <c r="A505" s="6"/>
      <c r="B505" s="6"/>
      <c r="C505" s="12" t="s">
        <v>20</v>
      </c>
      <c r="D505" s="12" t="s">
        <v>486</v>
      </c>
      <c r="E505" s="13">
        <v>201112910</v>
      </c>
      <c r="F505" s="14" t="s">
        <v>491</v>
      </c>
      <c r="G505" s="12" t="s">
        <v>94</v>
      </c>
      <c r="H505" s="6"/>
      <c r="I505" s="12" t="s">
        <v>674</v>
      </c>
      <c r="J505" s="6"/>
      <c r="K505" s="6"/>
      <c r="L505" s="12" t="s">
        <v>865</v>
      </c>
      <c r="M505" s="6"/>
      <c r="N505" s="6"/>
      <c r="O505" s="6"/>
      <c r="P505" s="9"/>
      <c r="Q505" s="9"/>
      <c r="R505" s="9"/>
      <c r="S505" s="9"/>
      <c r="T505" s="9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29">
        <f>18*7</f>
        <v>126</v>
      </c>
      <c r="AL505" s="18"/>
      <c r="AM505" s="5"/>
      <c r="AN505" s="5"/>
      <c r="AO505" s="7">
        <f t="shared" si="8"/>
        <v>0</v>
      </c>
    </row>
    <row r="506" spans="1:41" s="8" customFormat="1" ht="39.950000000000003" customHeight="1" x14ac:dyDescent="0.25">
      <c r="A506" s="6"/>
      <c r="B506" s="6"/>
      <c r="C506" s="12" t="s">
        <v>20</v>
      </c>
      <c r="D506" s="12" t="s">
        <v>486</v>
      </c>
      <c r="E506" s="13">
        <v>201113010</v>
      </c>
      <c r="F506" s="14" t="s">
        <v>492</v>
      </c>
      <c r="G506" s="12" t="s">
        <v>94</v>
      </c>
      <c r="H506" s="6"/>
      <c r="I506" s="12" t="s">
        <v>674</v>
      </c>
      <c r="J506" s="6"/>
      <c r="K506" s="6"/>
      <c r="L506" s="12" t="s">
        <v>865</v>
      </c>
      <c r="M506" s="6"/>
      <c r="N506" s="6"/>
      <c r="O506" s="6"/>
      <c r="P506" s="9"/>
      <c r="Q506" s="9"/>
      <c r="R506" s="9"/>
      <c r="S506" s="9"/>
      <c r="T506" s="9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29">
        <f>45.33*7</f>
        <v>317.31</v>
      </c>
      <c r="AL506" s="18"/>
      <c r="AM506" s="5"/>
      <c r="AN506" s="5"/>
      <c r="AO506" s="7">
        <f t="shared" si="8"/>
        <v>0</v>
      </c>
    </row>
    <row r="507" spans="1:41" s="8" customFormat="1" ht="39.950000000000003" customHeight="1" x14ac:dyDescent="0.25">
      <c r="A507" s="6"/>
      <c r="B507" s="6"/>
      <c r="C507" s="12" t="s">
        <v>20</v>
      </c>
      <c r="D507" s="12" t="s">
        <v>486</v>
      </c>
      <c r="E507" s="13">
        <v>201113110</v>
      </c>
      <c r="F507" s="14" t="s">
        <v>493</v>
      </c>
      <c r="G507" s="12" t="s">
        <v>94</v>
      </c>
      <c r="H507" s="6"/>
      <c r="I507" s="12" t="s">
        <v>674</v>
      </c>
      <c r="J507" s="6"/>
      <c r="K507" s="6"/>
      <c r="L507" s="12" t="s">
        <v>865</v>
      </c>
      <c r="M507" s="6"/>
      <c r="N507" s="6"/>
      <c r="O507" s="6"/>
      <c r="P507" s="9"/>
      <c r="Q507" s="9"/>
      <c r="R507" s="9"/>
      <c r="S507" s="9"/>
      <c r="T507" s="9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29">
        <f>45.75*7</f>
        <v>320.25</v>
      </c>
      <c r="AL507" s="18"/>
      <c r="AM507" s="5"/>
      <c r="AN507" s="5"/>
      <c r="AO507" s="7">
        <f t="shared" si="8"/>
        <v>0</v>
      </c>
    </row>
    <row r="508" spans="1:41" s="8" customFormat="1" ht="39.950000000000003" customHeight="1" x14ac:dyDescent="0.25">
      <c r="A508" s="6"/>
      <c r="B508" s="6"/>
      <c r="C508" s="12" t="s">
        <v>20</v>
      </c>
      <c r="D508" s="12" t="s">
        <v>391</v>
      </c>
      <c r="E508" s="13">
        <v>201113310</v>
      </c>
      <c r="F508" s="14" t="s">
        <v>392</v>
      </c>
      <c r="G508" s="12" t="s">
        <v>94</v>
      </c>
      <c r="H508" s="6"/>
      <c r="I508" s="12" t="s">
        <v>444</v>
      </c>
      <c r="J508" s="6"/>
      <c r="K508" s="6"/>
      <c r="L508" s="12" t="s">
        <v>813</v>
      </c>
      <c r="M508" s="6"/>
      <c r="N508" s="6"/>
      <c r="O508" s="6"/>
      <c r="P508" s="9"/>
      <c r="Q508" s="9"/>
      <c r="R508" s="9"/>
      <c r="S508" s="9"/>
      <c r="T508" s="9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29">
        <f>99.08*7</f>
        <v>693.56</v>
      </c>
      <c r="AL508" s="18"/>
      <c r="AM508" s="5"/>
      <c r="AN508" s="5"/>
      <c r="AO508" s="7">
        <f t="shared" si="8"/>
        <v>0</v>
      </c>
    </row>
    <row r="509" spans="1:41" s="8" customFormat="1" ht="39.950000000000003" customHeight="1" x14ac:dyDescent="0.25">
      <c r="A509" s="6"/>
      <c r="B509" s="6"/>
      <c r="C509" s="12" t="s">
        <v>20</v>
      </c>
      <c r="D509" s="12" t="s">
        <v>391</v>
      </c>
      <c r="E509" s="13">
        <v>201113410</v>
      </c>
      <c r="F509" s="14" t="s">
        <v>393</v>
      </c>
      <c r="G509" s="12" t="s">
        <v>94</v>
      </c>
      <c r="H509" s="6"/>
      <c r="I509" s="12" t="s">
        <v>444</v>
      </c>
      <c r="J509" s="6"/>
      <c r="K509" s="6"/>
      <c r="L509" s="12" t="s">
        <v>813</v>
      </c>
      <c r="M509" s="6"/>
      <c r="N509" s="6"/>
      <c r="O509" s="6"/>
      <c r="P509" s="9"/>
      <c r="Q509" s="9"/>
      <c r="R509" s="9"/>
      <c r="S509" s="9"/>
      <c r="T509" s="9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29">
        <f>385.25*7</f>
        <v>2696.75</v>
      </c>
      <c r="AL509" s="18"/>
      <c r="AM509" s="5"/>
      <c r="AN509" s="5"/>
      <c r="AO509" s="7">
        <f t="shared" si="8"/>
        <v>0</v>
      </c>
    </row>
    <row r="510" spans="1:41" s="8" customFormat="1" ht="39.950000000000003" customHeight="1" x14ac:dyDescent="0.25">
      <c r="A510" s="6"/>
      <c r="B510" s="6"/>
      <c r="C510" s="12" t="s">
        <v>20</v>
      </c>
      <c r="D510" s="12" t="s">
        <v>391</v>
      </c>
      <c r="E510" s="13">
        <v>201113510</v>
      </c>
      <c r="F510" s="14" t="s">
        <v>394</v>
      </c>
      <c r="G510" s="12" t="s">
        <v>94</v>
      </c>
      <c r="H510" s="6"/>
      <c r="I510" s="12" t="s">
        <v>444</v>
      </c>
      <c r="J510" s="6"/>
      <c r="K510" s="6"/>
      <c r="L510" s="12" t="s">
        <v>813</v>
      </c>
      <c r="M510" s="6"/>
      <c r="N510" s="6"/>
      <c r="O510" s="6"/>
      <c r="P510" s="9"/>
      <c r="Q510" s="9"/>
      <c r="R510" s="9"/>
      <c r="S510" s="9"/>
      <c r="T510" s="9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29">
        <f>175.5*7</f>
        <v>1228.5</v>
      </c>
      <c r="AL510" s="18"/>
      <c r="AM510" s="5"/>
      <c r="AN510" s="5"/>
      <c r="AO510" s="7">
        <f t="shared" si="8"/>
        <v>0</v>
      </c>
    </row>
    <row r="511" spans="1:41" s="8" customFormat="1" ht="39.950000000000003" customHeight="1" x14ac:dyDescent="0.25">
      <c r="A511" s="6"/>
      <c r="B511" s="6"/>
      <c r="C511" s="12" t="s">
        <v>20</v>
      </c>
      <c r="D511" s="12" t="s">
        <v>391</v>
      </c>
      <c r="E511" s="13">
        <v>201113610</v>
      </c>
      <c r="F511" s="14" t="s">
        <v>395</v>
      </c>
      <c r="G511" s="12" t="s">
        <v>94</v>
      </c>
      <c r="H511" s="6"/>
      <c r="I511" s="12" t="s">
        <v>444</v>
      </c>
      <c r="J511" s="6"/>
      <c r="K511" s="6"/>
      <c r="L511" s="12" t="s">
        <v>813</v>
      </c>
      <c r="M511" s="6"/>
      <c r="N511" s="6"/>
      <c r="O511" s="6"/>
      <c r="P511" s="9"/>
      <c r="Q511" s="9"/>
      <c r="R511" s="9"/>
      <c r="S511" s="9"/>
      <c r="T511" s="9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29">
        <f>80.25*7</f>
        <v>561.75</v>
      </c>
      <c r="AL511" s="18"/>
      <c r="AM511" s="5"/>
      <c r="AN511" s="5"/>
      <c r="AO511" s="7">
        <f t="shared" si="8"/>
        <v>0</v>
      </c>
    </row>
    <row r="512" spans="1:41" s="8" customFormat="1" ht="39.950000000000003" customHeight="1" x14ac:dyDescent="0.25">
      <c r="A512" s="6"/>
      <c r="B512" s="6"/>
      <c r="C512" s="12" t="s">
        <v>20</v>
      </c>
      <c r="D512" s="12" t="s">
        <v>391</v>
      </c>
      <c r="E512" s="13">
        <v>201113710</v>
      </c>
      <c r="F512" s="14" t="s">
        <v>396</v>
      </c>
      <c r="G512" s="12" t="s">
        <v>94</v>
      </c>
      <c r="H512" s="6"/>
      <c r="I512" s="12" t="s">
        <v>444</v>
      </c>
      <c r="J512" s="6"/>
      <c r="K512" s="6"/>
      <c r="L512" s="12" t="s">
        <v>813</v>
      </c>
      <c r="M512" s="6"/>
      <c r="N512" s="6"/>
      <c r="O512" s="6"/>
      <c r="P512" s="9"/>
      <c r="Q512" s="9"/>
      <c r="R512" s="9"/>
      <c r="S512" s="9"/>
      <c r="T512" s="9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29">
        <f>88.83*7</f>
        <v>621.80999999999995</v>
      </c>
      <c r="AL512" s="18"/>
      <c r="AM512" s="5"/>
      <c r="AN512" s="5"/>
      <c r="AO512" s="7">
        <f t="shared" si="8"/>
        <v>0</v>
      </c>
    </row>
    <row r="513" spans="1:41" s="8" customFormat="1" ht="39.950000000000003" customHeight="1" x14ac:dyDescent="0.25">
      <c r="A513" s="6"/>
      <c r="B513" s="6"/>
      <c r="C513" s="12" t="s">
        <v>20</v>
      </c>
      <c r="D513" s="12" t="s">
        <v>391</v>
      </c>
      <c r="E513" s="13">
        <v>201113810</v>
      </c>
      <c r="F513" s="14" t="s">
        <v>397</v>
      </c>
      <c r="G513" s="12" t="s">
        <v>94</v>
      </c>
      <c r="H513" s="6"/>
      <c r="I513" s="12" t="s">
        <v>444</v>
      </c>
      <c r="J513" s="6"/>
      <c r="K513" s="6"/>
      <c r="L513" s="12" t="s">
        <v>813</v>
      </c>
      <c r="M513" s="6"/>
      <c r="N513" s="6"/>
      <c r="O513" s="6"/>
      <c r="P513" s="9"/>
      <c r="Q513" s="9"/>
      <c r="R513" s="9"/>
      <c r="S513" s="9"/>
      <c r="T513" s="9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29">
        <f>56*7</f>
        <v>392</v>
      </c>
      <c r="AL513" s="18"/>
      <c r="AM513" s="5"/>
      <c r="AN513" s="5"/>
      <c r="AO513" s="7">
        <f t="shared" si="8"/>
        <v>0</v>
      </c>
    </row>
    <row r="514" spans="1:41" s="8" customFormat="1" ht="39.950000000000003" customHeight="1" x14ac:dyDescent="0.25">
      <c r="A514" s="6"/>
      <c r="B514" s="6"/>
      <c r="C514" s="12" t="s">
        <v>20</v>
      </c>
      <c r="D514" s="12" t="s">
        <v>391</v>
      </c>
      <c r="E514" s="13">
        <v>201113910</v>
      </c>
      <c r="F514" s="14" t="s">
        <v>398</v>
      </c>
      <c r="G514" s="12" t="s">
        <v>94</v>
      </c>
      <c r="H514" s="6"/>
      <c r="I514" s="12" t="s">
        <v>444</v>
      </c>
      <c r="J514" s="6"/>
      <c r="K514" s="6"/>
      <c r="L514" s="12" t="s">
        <v>813</v>
      </c>
      <c r="M514" s="6"/>
      <c r="N514" s="6"/>
      <c r="O514" s="6"/>
      <c r="P514" s="9"/>
      <c r="Q514" s="9"/>
      <c r="R514" s="9"/>
      <c r="S514" s="9"/>
      <c r="T514" s="9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29">
        <f>41.83*7</f>
        <v>292.81</v>
      </c>
      <c r="AL514" s="18"/>
      <c r="AM514" s="5"/>
      <c r="AN514" s="5"/>
      <c r="AO514" s="7">
        <f t="shared" si="8"/>
        <v>0</v>
      </c>
    </row>
    <row r="515" spans="1:41" s="8" customFormat="1" ht="39.950000000000003" customHeight="1" x14ac:dyDescent="0.25">
      <c r="A515" s="6"/>
      <c r="B515" s="6"/>
      <c r="C515" s="12" t="s">
        <v>20</v>
      </c>
      <c r="D515" s="12" t="s">
        <v>546</v>
      </c>
      <c r="E515" s="13">
        <v>201114110</v>
      </c>
      <c r="F515" s="14" t="s">
        <v>547</v>
      </c>
      <c r="G515" s="12" t="s">
        <v>94</v>
      </c>
      <c r="H515" s="6"/>
      <c r="I515" s="12" t="s">
        <v>660</v>
      </c>
      <c r="J515" s="6"/>
      <c r="K515" s="6"/>
      <c r="L515" s="12" t="s">
        <v>879</v>
      </c>
      <c r="M515" s="6"/>
      <c r="N515" s="6"/>
      <c r="O515" s="6"/>
      <c r="P515" s="9"/>
      <c r="Q515" s="9"/>
      <c r="R515" s="9"/>
      <c r="S515" s="9"/>
      <c r="T515" s="9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29">
        <f>1007*7</f>
        <v>7049</v>
      </c>
      <c r="AL515" s="18"/>
      <c r="AM515" s="5"/>
      <c r="AN515" s="5"/>
      <c r="AO515" s="7">
        <f t="shared" si="8"/>
        <v>0</v>
      </c>
    </row>
    <row r="516" spans="1:41" s="8" customFormat="1" ht="39.950000000000003" customHeight="1" x14ac:dyDescent="0.25">
      <c r="A516" s="6"/>
      <c r="B516" s="6"/>
      <c r="C516" s="12" t="s">
        <v>20</v>
      </c>
      <c r="D516" s="12" t="s">
        <v>546</v>
      </c>
      <c r="E516" s="13">
        <v>201114310</v>
      </c>
      <c r="F516" s="14" t="s">
        <v>548</v>
      </c>
      <c r="G516" s="12" t="s">
        <v>94</v>
      </c>
      <c r="H516" s="6"/>
      <c r="I516" s="12" t="s">
        <v>660</v>
      </c>
      <c r="J516" s="6"/>
      <c r="K516" s="6"/>
      <c r="L516" s="12" t="s">
        <v>879</v>
      </c>
      <c r="M516" s="6"/>
      <c r="N516" s="6"/>
      <c r="O516" s="6"/>
      <c r="P516" s="9"/>
      <c r="Q516" s="9"/>
      <c r="R516" s="9"/>
      <c r="S516" s="9"/>
      <c r="T516" s="9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29">
        <f>85.5*7</f>
        <v>598.5</v>
      </c>
      <c r="AL516" s="18"/>
      <c r="AM516" s="5"/>
      <c r="AN516" s="5"/>
      <c r="AO516" s="7">
        <f t="shared" si="8"/>
        <v>0</v>
      </c>
    </row>
    <row r="517" spans="1:41" s="8" customFormat="1" ht="39.950000000000003" customHeight="1" x14ac:dyDescent="0.25">
      <c r="A517" s="6"/>
      <c r="B517" s="6"/>
      <c r="C517" s="12" t="s">
        <v>20</v>
      </c>
      <c r="D517" s="12" t="s">
        <v>546</v>
      </c>
      <c r="E517" s="13">
        <v>201114410</v>
      </c>
      <c r="F517" s="14" t="s">
        <v>549</v>
      </c>
      <c r="G517" s="12" t="s">
        <v>94</v>
      </c>
      <c r="H517" s="6"/>
      <c r="I517" s="12" t="s">
        <v>660</v>
      </c>
      <c r="J517" s="6"/>
      <c r="K517" s="6"/>
      <c r="L517" s="12" t="s">
        <v>879</v>
      </c>
      <c r="M517" s="6"/>
      <c r="N517" s="6"/>
      <c r="O517" s="6"/>
      <c r="P517" s="9"/>
      <c r="Q517" s="9"/>
      <c r="R517" s="9"/>
      <c r="S517" s="9"/>
      <c r="T517" s="9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29">
        <f>25.83*7</f>
        <v>180.81</v>
      </c>
      <c r="AL517" s="18"/>
      <c r="AM517" s="5"/>
      <c r="AN517" s="5"/>
      <c r="AO517" s="7">
        <f t="shared" si="8"/>
        <v>0</v>
      </c>
    </row>
    <row r="518" spans="1:41" s="8" customFormat="1" ht="39.950000000000003" customHeight="1" x14ac:dyDescent="0.25">
      <c r="A518" s="15"/>
      <c r="B518" s="15"/>
      <c r="C518" s="12" t="s">
        <v>20</v>
      </c>
      <c r="D518" s="12" t="s">
        <v>104</v>
      </c>
      <c r="E518" s="23">
        <v>201120503</v>
      </c>
      <c r="F518" s="24" t="s">
        <v>1161</v>
      </c>
      <c r="G518" s="12" t="s">
        <v>94</v>
      </c>
      <c r="H518" s="15"/>
      <c r="I518" s="12" t="s">
        <v>713</v>
      </c>
      <c r="J518" s="15"/>
      <c r="K518" s="15"/>
      <c r="L518" s="12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29">
        <f>3.5*7</f>
        <v>24.5</v>
      </c>
      <c r="AL518" s="18"/>
      <c r="AM518" s="15"/>
      <c r="AN518" s="15"/>
      <c r="AO518" s="7">
        <f t="shared" si="8"/>
        <v>0</v>
      </c>
    </row>
    <row r="519" spans="1:41" s="8" customFormat="1" ht="39.950000000000003" customHeight="1" x14ac:dyDescent="0.25">
      <c r="A519" s="15"/>
      <c r="B519" s="15"/>
      <c r="C519" s="12" t="s">
        <v>20</v>
      </c>
      <c r="D519" s="12" t="s">
        <v>104</v>
      </c>
      <c r="E519" s="23">
        <v>201120605</v>
      </c>
      <c r="F519" s="24" t="s">
        <v>1162</v>
      </c>
      <c r="G519" s="12" t="s">
        <v>21</v>
      </c>
      <c r="H519" s="15"/>
      <c r="I519" s="12" t="s">
        <v>720</v>
      </c>
      <c r="J519" s="15"/>
      <c r="K519" s="15"/>
      <c r="L519" s="12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29">
        <f>7.42*7</f>
        <v>51.94</v>
      </c>
      <c r="AL519" s="18"/>
      <c r="AM519" s="15"/>
      <c r="AN519" s="15"/>
      <c r="AO519" s="7">
        <f t="shared" si="8"/>
        <v>0</v>
      </c>
    </row>
    <row r="520" spans="1:41" s="8" customFormat="1" ht="39.950000000000003" customHeight="1" x14ac:dyDescent="0.25">
      <c r="A520" s="6"/>
      <c r="B520" s="6"/>
      <c r="C520" s="12" t="s">
        <v>20</v>
      </c>
      <c r="D520" s="12" t="s">
        <v>324</v>
      </c>
      <c r="E520" s="13">
        <v>201130110</v>
      </c>
      <c r="F520" s="14" t="s">
        <v>325</v>
      </c>
      <c r="G520" s="12" t="s">
        <v>94</v>
      </c>
      <c r="H520" s="6"/>
      <c r="I520" s="12" t="s">
        <v>660</v>
      </c>
      <c r="J520" s="6"/>
      <c r="K520" s="6"/>
      <c r="L520" s="12" t="s">
        <v>810</v>
      </c>
      <c r="M520" s="6"/>
      <c r="N520" s="6"/>
      <c r="O520" s="6"/>
      <c r="P520" s="9"/>
      <c r="Q520" s="9"/>
      <c r="R520" s="9"/>
      <c r="S520" s="9"/>
      <c r="T520" s="9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29">
        <f>4.17*7</f>
        <v>29.189999999999998</v>
      </c>
      <c r="AL520" s="18"/>
      <c r="AM520" s="5"/>
      <c r="AN520" s="5"/>
      <c r="AO520" s="7">
        <f t="shared" si="8"/>
        <v>0</v>
      </c>
    </row>
    <row r="521" spans="1:41" s="8" customFormat="1" ht="39.950000000000003" customHeight="1" x14ac:dyDescent="0.25">
      <c r="A521" s="6"/>
      <c r="B521" s="6"/>
      <c r="C521" s="12" t="s">
        <v>20</v>
      </c>
      <c r="D521" s="12" t="s">
        <v>324</v>
      </c>
      <c r="E521" s="13">
        <v>201130210</v>
      </c>
      <c r="F521" s="14" t="s">
        <v>326</v>
      </c>
      <c r="G521" s="12" t="s">
        <v>94</v>
      </c>
      <c r="H521" s="6"/>
      <c r="I521" s="12" t="s">
        <v>660</v>
      </c>
      <c r="J521" s="6"/>
      <c r="K521" s="6"/>
      <c r="L521" s="12" t="s">
        <v>810</v>
      </c>
      <c r="M521" s="6"/>
      <c r="N521" s="6"/>
      <c r="O521" s="6"/>
      <c r="P521" s="9"/>
      <c r="Q521" s="9"/>
      <c r="R521" s="9"/>
      <c r="S521" s="9"/>
      <c r="T521" s="9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29">
        <f>5*7</f>
        <v>35</v>
      </c>
      <c r="AL521" s="18"/>
      <c r="AM521" s="5"/>
      <c r="AN521" s="5"/>
      <c r="AO521" s="7">
        <f t="shared" si="8"/>
        <v>0</v>
      </c>
    </row>
    <row r="522" spans="1:41" s="8" customFormat="1" ht="39.950000000000003" customHeight="1" x14ac:dyDescent="0.25">
      <c r="A522" s="6"/>
      <c r="B522" s="6"/>
      <c r="C522" s="12" t="s">
        <v>20</v>
      </c>
      <c r="D522" s="12" t="s">
        <v>324</v>
      </c>
      <c r="E522" s="13">
        <v>201130310</v>
      </c>
      <c r="F522" s="14" t="s">
        <v>327</v>
      </c>
      <c r="G522" s="12" t="s">
        <v>94</v>
      </c>
      <c r="H522" s="6"/>
      <c r="I522" s="12" t="s">
        <v>660</v>
      </c>
      <c r="J522" s="6"/>
      <c r="K522" s="6"/>
      <c r="L522" s="12" t="s">
        <v>810</v>
      </c>
      <c r="M522" s="6"/>
      <c r="N522" s="6"/>
      <c r="O522" s="6"/>
      <c r="P522" s="9"/>
      <c r="Q522" s="9"/>
      <c r="R522" s="9"/>
      <c r="S522" s="9"/>
      <c r="T522" s="9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29">
        <f>1.33*7</f>
        <v>9.31</v>
      </c>
      <c r="AL522" s="18"/>
      <c r="AM522" s="5"/>
      <c r="AN522" s="5"/>
      <c r="AO522" s="7">
        <f t="shared" si="8"/>
        <v>0</v>
      </c>
    </row>
    <row r="523" spans="1:41" s="8" customFormat="1" ht="39.950000000000003" customHeight="1" x14ac:dyDescent="0.25">
      <c r="A523" s="6"/>
      <c r="B523" s="6"/>
      <c r="C523" s="12" t="s">
        <v>20</v>
      </c>
      <c r="D523" s="12" t="s">
        <v>324</v>
      </c>
      <c r="E523" s="13">
        <v>201130410</v>
      </c>
      <c r="F523" s="14" t="s">
        <v>328</v>
      </c>
      <c r="G523" s="12" t="s">
        <v>94</v>
      </c>
      <c r="H523" s="6"/>
      <c r="I523" s="12" t="s">
        <v>660</v>
      </c>
      <c r="J523" s="6"/>
      <c r="K523" s="6"/>
      <c r="L523" s="12" t="s">
        <v>810</v>
      </c>
      <c r="M523" s="6"/>
      <c r="N523" s="6"/>
      <c r="O523" s="6"/>
      <c r="P523" s="9"/>
      <c r="Q523" s="9"/>
      <c r="R523" s="9"/>
      <c r="S523" s="9"/>
      <c r="T523" s="9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29">
        <f>2.5*7</f>
        <v>17.5</v>
      </c>
      <c r="AL523" s="18"/>
      <c r="AM523" s="5"/>
      <c r="AN523" s="5"/>
      <c r="AO523" s="7">
        <f t="shared" si="8"/>
        <v>0</v>
      </c>
    </row>
    <row r="524" spans="1:41" s="8" customFormat="1" ht="39.950000000000003" customHeight="1" x14ac:dyDescent="0.25">
      <c r="A524" s="6"/>
      <c r="B524" s="6"/>
      <c r="C524" s="12" t="s">
        <v>20</v>
      </c>
      <c r="D524" s="12" t="s">
        <v>324</v>
      </c>
      <c r="E524" s="13">
        <v>201130510</v>
      </c>
      <c r="F524" s="14" t="s">
        <v>329</v>
      </c>
      <c r="G524" s="12" t="s">
        <v>94</v>
      </c>
      <c r="H524" s="6"/>
      <c r="I524" s="12" t="s">
        <v>660</v>
      </c>
      <c r="J524" s="6"/>
      <c r="K524" s="6"/>
      <c r="L524" s="12" t="s">
        <v>810</v>
      </c>
      <c r="M524" s="6"/>
      <c r="N524" s="6"/>
      <c r="O524" s="6"/>
      <c r="P524" s="9"/>
      <c r="Q524" s="9"/>
      <c r="R524" s="9"/>
      <c r="S524" s="9"/>
      <c r="T524" s="9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29">
        <f>1.33*7</f>
        <v>9.31</v>
      </c>
      <c r="AL524" s="18"/>
      <c r="AM524" s="5"/>
      <c r="AN524" s="5"/>
      <c r="AO524" s="7">
        <f t="shared" si="8"/>
        <v>0</v>
      </c>
    </row>
    <row r="525" spans="1:41" s="8" customFormat="1" ht="39.950000000000003" customHeight="1" x14ac:dyDescent="0.25">
      <c r="A525" s="6"/>
      <c r="B525" s="6"/>
      <c r="C525" s="12" t="s">
        <v>20</v>
      </c>
      <c r="D525" s="12" t="s">
        <v>309</v>
      </c>
      <c r="E525" s="13">
        <v>201130610</v>
      </c>
      <c r="F525" s="14" t="s">
        <v>310</v>
      </c>
      <c r="G525" s="12" t="s">
        <v>94</v>
      </c>
      <c r="H525" s="6"/>
      <c r="I525" s="12" t="s">
        <v>660</v>
      </c>
      <c r="J525" s="6"/>
      <c r="K525" s="6"/>
      <c r="L525" s="12" t="s">
        <v>810</v>
      </c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29">
        <f>1.33*7</f>
        <v>9.31</v>
      </c>
      <c r="AL525" s="18"/>
      <c r="AM525" s="5"/>
      <c r="AN525" s="5"/>
      <c r="AO525" s="7">
        <f t="shared" si="8"/>
        <v>0</v>
      </c>
    </row>
    <row r="526" spans="1:41" s="8" customFormat="1" ht="39.950000000000003" customHeight="1" x14ac:dyDescent="0.25">
      <c r="A526" s="6"/>
      <c r="B526" s="6"/>
      <c r="C526" s="12" t="s">
        <v>20</v>
      </c>
      <c r="D526" s="12" t="s">
        <v>309</v>
      </c>
      <c r="E526" s="13">
        <v>201130635</v>
      </c>
      <c r="F526" s="14" t="s">
        <v>311</v>
      </c>
      <c r="G526" s="12" t="s">
        <v>312</v>
      </c>
      <c r="H526" s="6"/>
      <c r="I526" s="12" t="s">
        <v>660</v>
      </c>
      <c r="J526" s="6"/>
      <c r="K526" s="6"/>
      <c r="L526" s="12" t="s">
        <v>810</v>
      </c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29">
        <f>2*7</f>
        <v>14</v>
      </c>
      <c r="AL526" s="18"/>
      <c r="AM526" s="5"/>
      <c r="AN526" s="5"/>
      <c r="AO526" s="7">
        <f t="shared" si="8"/>
        <v>0</v>
      </c>
    </row>
    <row r="527" spans="1:41" s="8" customFormat="1" ht="39.950000000000003" customHeight="1" x14ac:dyDescent="0.25">
      <c r="A527" s="6"/>
      <c r="B527" s="6"/>
      <c r="C527" s="12" t="s">
        <v>20</v>
      </c>
      <c r="D527" s="12" t="s">
        <v>309</v>
      </c>
      <c r="E527" s="13">
        <v>201130640</v>
      </c>
      <c r="F527" s="14" t="s">
        <v>313</v>
      </c>
      <c r="G527" s="12" t="s">
        <v>94</v>
      </c>
      <c r="H527" s="6"/>
      <c r="I527" s="12" t="s">
        <v>660</v>
      </c>
      <c r="J527" s="6"/>
      <c r="K527" s="6"/>
      <c r="L527" s="12" t="s">
        <v>810</v>
      </c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29">
        <f>1.5*7</f>
        <v>10.5</v>
      </c>
      <c r="AL527" s="18"/>
      <c r="AM527" s="5"/>
      <c r="AN527" s="5"/>
      <c r="AO527" s="7">
        <f t="shared" si="8"/>
        <v>0</v>
      </c>
    </row>
    <row r="528" spans="1:41" s="8" customFormat="1" ht="39.950000000000003" customHeight="1" x14ac:dyDescent="0.25">
      <c r="A528" s="6"/>
      <c r="B528" s="6"/>
      <c r="C528" s="12" t="s">
        <v>20</v>
      </c>
      <c r="D528" s="12" t="s">
        <v>309</v>
      </c>
      <c r="E528" s="13">
        <v>201130645</v>
      </c>
      <c r="F528" s="14" t="s">
        <v>314</v>
      </c>
      <c r="G528" s="12" t="s">
        <v>94</v>
      </c>
      <c r="H528" s="6"/>
      <c r="I528" s="12" t="s">
        <v>660</v>
      </c>
      <c r="J528" s="6"/>
      <c r="K528" s="6"/>
      <c r="L528" s="12" t="s">
        <v>810</v>
      </c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29">
        <f>1.65*7</f>
        <v>11.549999999999999</v>
      </c>
      <c r="AL528" s="18"/>
      <c r="AM528" s="5"/>
      <c r="AN528" s="5"/>
      <c r="AO528" s="7">
        <f t="shared" si="8"/>
        <v>0</v>
      </c>
    </row>
    <row r="529" spans="1:41" s="8" customFormat="1" ht="39.950000000000003" customHeight="1" x14ac:dyDescent="0.25">
      <c r="A529" s="6"/>
      <c r="B529" s="6"/>
      <c r="C529" s="12" t="s">
        <v>20</v>
      </c>
      <c r="D529" s="12" t="s">
        <v>309</v>
      </c>
      <c r="E529" s="13">
        <v>201130650</v>
      </c>
      <c r="F529" s="14" t="s">
        <v>315</v>
      </c>
      <c r="G529" s="12" t="s">
        <v>94</v>
      </c>
      <c r="H529" s="6"/>
      <c r="I529" s="12" t="s">
        <v>660</v>
      </c>
      <c r="J529" s="6"/>
      <c r="K529" s="6"/>
      <c r="L529" s="12" t="s">
        <v>810</v>
      </c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29">
        <f>2*7</f>
        <v>14</v>
      </c>
      <c r="AL529" s="18"/>
      <c r="AM529" s="5"/>
      <c r="AN529" s="5"/>
      <c r="AO529" s="7">
        <f t="shared" si="8"/>
        <v>0</v>
      </c>
    </row>
    <row r="530" spans="1:41" s="8" customFormat="1" ht="39.950000000000003" customHeight="1" x14ac:dyDescent="0.25">
      <c r="A530" s="6"/>
      <c r="B530" s="6"/>
      <c r="C530" s="12" t="s">
        <v>20</v>
      </c>
      <c r="D530" s="12" t="s">
        <v>309</v>
      </c>
      <c r="E530" s="13">
        <v>201130710</v>
      </c>
      <c r="F530" s="14" t="s">
        <v>316</v>
      </c>
      <c r="G530" s="12" t="s">
        <v>94</v>
      </c>
      <c r="H530" s="6"/>
      <c r="I530" s="12" t="s">
        <v>660</v>
      </c>
      <c r="J530" s="6"/>
      <c r="K530" s="6"/>
      <c r="L530" s="12" t="s">
        <v>810</v>
      </c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29">
        <f>1.67*7</f>
        <v>11.69</v>
      </c>
      <c r="AL530" s="18"/>
      <c r="AM530" s="5"/>
      <c r="AN530" s="5"/>
      <c r="AO530" s="7">
        <f t="shared" si="8"/>
        <v>0</v>
      </c>
    </row>
    <row r="531" spans="1:41" s="8" customFormat="1" ht="39.950000000000003" customHeight="1" x14ac:dyDescent="0.25">
      <c r="A531" s="6"/>
      <c r="B531" s="6"/>
      <c r="C531" s="12" t="s">
        <v>20</v>
      </c>
      <c r="D531" s="12" t="s">
        <v>309</v>
      </c>
      <c r="E531" s="13">
        <v>201130810</v>
      </c>
      <c r="F531" s="14" t="s">
        <v>317</v>
      </c>
      <c r="G531" s="12" t="s">
        <v>94</v>
      </c>
      <c r="H531" s="6"/>
      <c r="I531" s="12" t="s">
        <v>660</v>
      </c>
      <c r="J531" s="6"/>
      <c r="K531" s="6"/>
      <c r="L531" s="12" t="s">
        <v>810</v>
      </c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29">
        <f>2.75*7</f>
        <v>19.25</v>
      </c>
      <c r="AL531" s="18"/>
      <c r="AM531" s="5"/>
      <c r="AN531" s="5"/>
      <c r="AO531" s="7">
        <f t="shared" si="8"/>
        <v>0</v>
      </c>
    </row>
    <row r="532" spans="1:41" s="8" customFormat="1" ht="39.950000000000003" customHeight="1" x14ac:dyDescent="0.25">
      <c r="A532" s="6"/>
      <c r="B532" s="10"/>
      <c r="C532" s="12" t="s">
        <v>20</v>
      </c>
      <c r="D532" s="12" t="s">
        <v>309</v>
      </c>
      <c r="E532" s="13">
        <v>201130910</v>
      </c>
      <c r="F532" s="14" t="s">
        <v>318</v>
      </c>
      <c r="G532" s="12" t="s">
        <v>94</v>
      </c>
      <c r="H532" s="6"/>
      <c r="I532" s="12" t="s">
        <v>660</v>
      </c>
      <c r="J532" s="6"/>
      <c r="K532" s="6"/>
      <c r="L532" s="12" t="s">
        <v>810</v>
      </c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29">
        <f>26.25*7</f>
        <v>183.75</v>
      </c>
      <c r="AL532" s="18"/>
      <c r="AM532" s="5"/>
      <c r="AN532" s="5"/>
      <c r="AO532" s="7">
        <f t="shared" si="8"/>
        <v>0</v>
      </c>
    </row>
    <row r="533" spans="1:41" s="8" customFormat="1" ht="39.950000000000003" customHeight="1" x14ac:dyDescent="0.25">
      <c r="A533" s="6"/>
      <c r="B533" s="6"/>
      <c r="C533" s="12" t="s">
        <v>20</v>
      </c>
      <c r="D533" s="12" t="s">
        <v>309</v>
      </c>
      <c r="E533" s="13">
        <v>201131010</v>
      </c>
      <c r="F533" s="14" t="s">
        <v>319</v>
      </c>
      <c r="G533" s="12" t="s">
        <v>94</v>
      </c>
      <c r="H533" s="6"/>
      <c r="I533" s="12" t="s">
        <v>660</v>
      </c>
      <c r="J533" s="6"/>
      <c r="K533" s="6"/>
      <c r="L533" s="12" t="s">
        <v>810</v>
      </c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29">
        <f>31.67*7</f>
        <v>221.69</v>
      </c>
      <c r="AL533" s="18"/>
      <c r="AM533" s="5"/>
      <c r="AN533" s="5"/>
      <c r="AO533" s="7">
        <f t="shared" si="8"/>
        <v>0</v>
      </c>
    </row>
    <row r="534" spans="1:41" s="8" customFormat="1" ht="39.950000000000003" customHeight="1" x14ac:dyDescent="0.25">
      <c r="A534" s="6"/>
      <c r="B534" s="6"/>
      <c r="C534" s="12" t="s">
        <v>20</v>
      </c>
      <c r="D534" s="12" t="s">
        <v>309</v>
      </c>
      <c r="E534" s="13">
        <v>201131110</v>
      </c>
      <c r="F534" s="14" t="s">
        <v>320</v>
      </c>
      <c r="G534" s="12" t="s">
        <v>94</v>
      </c>
      <c r="H534" s="6"/>
      <c r="I534" s="12" t="s">
        <v>660</v>
      </c>
      <c r="J534" s="6"/>
      <c r="K534" s="6"/>
      <c r="L534" s="12" t="s">
        <v>810</v>
      </c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29">
        <f>13*7</f>
        <v>91</v>
      </c>
      <c r="AL534" s="18"/>
      <c r="AM534" s="5"/>
      <c r="AN534" s="5"/>
      <c r="AO534" s="7">
        <f t="shared" si="8"/>
        <v>0</v>
      </c>
    </row>
    <row r="535" spans="1:41" s="8" customFormat="1" ht="39.950000000000003" customHeight="1" x14ac:dyDescent="0.25">
      <c r="A535" s="6"/>
      <c r="B535" s="6"/>
      <c r="C535" s="12" t="s">
        <v>20</v>
      </c>
      <c r="D535" s="12" t="s">
        <v>309</v>
      </c>
      <c r="E535" s="13">
        <v>201131210</v>
      </c>
      <c r="F535" s="14" t="s">
        <v>321</v>
      </c>
      <c r="G535" s="12" t="s">
        <v>94</v>
      </c>
      <c r="H535" s="6"/>
      <c r="I535" s="12" t="s">
        <v>660</v>
      </c>
      <c r="J535" s="6"/>
      <c r="K535" s="6"/>
      <c r="L535" s="12" t="s">
        <v>810</v>
      </c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29">
        <f>11.5*7</f>
        <v>80.5</v>
      </c>
      <c r="AL535" s="18"/>
      <c r="AM535" s="5"/>
      <c r="AN535" s="5"/>
      <c r="AO535" s="7">
        <f t="shared" si="8"/>
        <v>0</v>
      </c>
    </row>
    <row r="536" spans="1:41" s="8" customFormat="1" ht="39.950000000000003" customHeight="1" x14ac:dyDescent="0.25">
      <c r="A536" s="6"/>
      <c r="B536" s="6"/>
      <c r="C536" s="12" t="s">
        <v>20</v>
      </c>
      <c r="D536" s="12" t="s">
        <v>309</v>
      </c>
      <c r="E536" s="13">
        <v>201131310</v>
      </c>
      <c r="F536" s="14" t="s">
        <v>322</v>
      </c>
      <c r="G536" s="12" t="s">
        <v>94</v>
      </c>
      <c r="H536" s="6"/>
      <c r="I536" s="12" t="s">
        <v>660</v>
      </c>
      <c r="J536" s="6"/>
      <c r="K536" s="6"/>
      <c r="L536" s="12" t="s">
        <v>810</v>
      </c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29">
        <f>2.75*7</f>
        <v>19.25</v>
      </c>
      <c r="AL536" s="18"/>
      <c r="AM536" s="5"/>
      <c r="AN536" s="5"/>
      <c r="AO536" s="7">
        <f t="shared" si="8"/>
        <v>0</v>
      </c>
    </row>
    <row r="537" spans="1:41" s="8" customFormat="1" ht="39.950000000000003" customHeight="1" x14ac:dyDescent="0.25">
      <c r="A537" s="6"/>
      <c r="B537" s="6"/>
      <c r="C537" s="12" t="s">
        <v>20</v>
      </c>
      <c r="D537" s="12" t="s">
        <v>309</v>
      </c>
      <c r="E537" s="13">
        <v>201131410</v>
      </c>
      <c r="F537" s="14" t="s">
        <v>323</v>
      </c>
      <c r="G537" s="12" t="s">
        <v>94</v>
      </c>
      <c r="H537" s="6"/>
      <c r="I537" s="12" t="s">
        <v>660</v>
      </c>
      <c r="J537" s="6"/>
      <c r="K537" s="6"/>
      <c r="L537" s="12" t="s">
        <v>810</v>
      </c>
      <c r="M537" s="6"/>
      <c r="N537" s="6"/>
      <c r="O537" s="6"/>
      <c r="P537" s="9"/>
      <c r="Q537" s="9"/>
      <c r="R537" s="9"/>
      <c r="S537" s="9"/>
      <c r="T537" s="9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29">
        <f>1*7</f>
        <v>7</v>
      </c>
      <c r="AL537" s="18"/>
      <c r="AM537" s="5"/>
      <c r="AN537" s="5"/>
      <c r="AO537" s="7">
        <f t="shared" si="8"/>
        <v>0</v>
      </c>
    </row>
    <row r="538" spans="1:41" s="8" customFormat="1" ht="39.950000000000003" customHeight="1" x14ac:dyDescent="0.25">
      <c r="A538" s="6"/>
      <c r="B538" s="6"/>
      <c r="C538" s="12" t="s">
        <v>20</v>
      </c>
      <c r="D538" s="12" t="s">
        <v>324</v>
      </c>
      <c r="E538" s="13">
        <v>201131810</v>
      </c>
      <c r="F538" s="14" t="s">
        <v>330</v>
      </c>
      <c r="G538" s="12" t="s">
        <v>94</v>
      </c>
      <c r="H538" s="6"/>
      <c r="I538" s="12" t="s">
        <v>660</v>
      </c>
      <c r="J538" s="6"/>
      <c r="K538" s="6"/>
      <c r="L538" s="12" t="s">
        <v>810</v>
      </c>
      <c r="M538" s="6"/>
      <c r="N538" s="6"/>
      <c r="O538" s="6"/>
      <c r="P538" s="9"/>
      <c r="Q538" s="9"/>
      <c r="R538" s="9"/>
      <c r="S538" s="9"/>
      <c r="T538" s="9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29">
        <f>1.83*7</f>
        <v>12.81</v>
      </c>
      <c r="AL538" s="18"/>
      <c r="AM538" s="5"/>
      <c r="AN538" s="5"/>
      <c r="AO538" s="7">
        <f t="shared" ref="AO538:AO601" si="9">(AM538*AN538+AM538)*AL538</f>
        <v>0</v>
      </c>
    </row>
    <row r="539" spans="1:41" s="8" customFormat="1" ht="39.950000000000003" customHeight="1" x14ac:dyDescent="0.25">
      <c r="A539" s="6"/>
      <c r="B539" s="6"/>
      <c r="C539" s="12" t="s">
        <v>20</v>
      </c>
      <c r="D539" s="12" t="s">
        <v>483</v>
      </c>
      <c r="E539" s="13">
        <v>201132317</v>
      </c>
      <c r="F539" s="14" t="s">
        <v>1163</v>
      </c>
      <c r="G539" s="12" t="s">
        <v>94</v>
      </c>
      <c r="H539" s="6"/>
      <c r="I539" s="12" t="s">
        <v>444</v>
      </c>
      <c r="J539" s="6"/>
      <c r="K539" s="6"/>
      <c r="L539" s="12" t="s">
        <v>811</v>
      </c>
      <c r="M539" s="6"/>
      <c r="N539" s="6"/>
      <c r="O539" s="6"/>
      <c r="P539" s="9"/>
      <c r="Q539" s="9"/>
      <c r="R539" s="9"/>
      <c r="S539" s="9"/>
      <c r="T539" s="9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29">
        <f>1*7</f>
        <v>7</v>
      </c>
      <c r="AL539" s="18"/>
      <c r="AM539" s="5"/>
      <c r="AN539" s="5"/>
      <c r="AO539" s="7">
        <f t="shared" si="9"/>
        <v>0</v>
      </c>
    </row>
    <row r="540" spans="1:41" s="8" customFormat="1" ht="39.950000000000003" customHeight="1" x14ac:dyDescent="0.25">
      <c r="A540" s="6"/>
      <c r="B540" s="6"/>
      <c r="C540" s="12" t="s">
        <v>20</v>
      </c>
      <c r="D540" s="12" t="s">
        <v>483</v>
      </c>
      <c r="E540" s="13">
        <v>201132318</v>
      </c>
      <c r="F540" s="14" t="s">
        <v>1164</v>
      </c>
      <c r="G540" s="12" t="s">
        <v>94</v>
      </c>
      <c r="H540" s="6"/>
      <c r="I540" s="12" t="s">
        <v>444</v>
      </c>
      <c r="J540" s="6"/>
      <c r="K540" s="6"/>
      <c r="L540" s="12" t="s">
        <v>811</v>
      </c>
      <c r="M540" s="6"/>
      <c r="N540" s="6"/>
      <c r="O540" s="6"/>
      <c r="P540" s="9"/>
      <c r="Q540" s="9"/>
      <c r="R540" s="9"/>
      <c r="S540" s="9"/>
      <c r="T540" s="9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29">
        <f>1*7</f>
        <v>7</v>
      </c>
      <c r="AL540" s="18"/>
      <c r="AM540" s="5"/>
      <c r="AN540" s="5"/>
      <c r="AO540" s="7">
        <f t="shared" si="9"/>
        <v>0</v>
      </c>
    </row>
    <row r="541" spans="1:41" s="8" customFormat="1" ht="39.950000000000003" customHeight="1" x14ac:dyDescent="0.25">
      <c r="A541" s="6"/>
      <c r="B541" s="6"/>
      <c r="C541" s="12" t="s">
        <v>20</v>
      </c>
      <c r="D541" s="12" t="s">
        <v>483</v>
      </c>
      <c r="E541" s="13">
        <v>201132320</v>
      </c>
      <c r="F541" s="14" t="s">
        <v>1165</v>
      </c>
      <c r="G541" s="12" t="s">
        <v>94</v>
      </c>
      <c r="H541" s="6"/>
      <c r="I541" s="12" t="s">
        <v>444</v>
      </c>
      <c r="J541" s="6"/>
      <c r="K541" s="6"/>
      <c r="L541" s="12" t="s">
        <v>811</v>
      </c>
      <c r="M541" s="6"/>
      <c r="N541" s="6"/>
      <c r="O541" s="6"/>
      <c r="P541" s="9"/>
      <c r="Q541" s="9"/>
      <c r="R541" s="9"/>
      <c r="S541" s="9"/>
      <c r="T541" s="9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29">
        <f>1*7</f>
        <v>7</v>
      </c>
      <c r="AL541" s="18"/>
      <c r="AM541" s="5"/>
      <c r="AN541" s="5"/>
      <c r="AO541" s="7">
        <f t="shared" si="9"/>
        <v>0</v>
      </c>
    </row>
    <row r="542" spans="1:41" s="8" customFormat="1" ht="39.950000000000003" customHeight="1" x14ac:dyDescent="0.25">
      <c r="A542" s="6"/>
      <c r="B542" s="6"/>
      <c r="C542" s="12" t="s">
        <v>20</v>
      </c>
      <c r="D542" s="12" t="s">
        <v>483</v>
      </c>
      <c r="E542" s="13">
        <v>201132330</v>
      </c>
      <c r="F542" s="14" t="s">
        <v>484</v>
      </c>
      <c r="G542" s="12" t="s">
        <v>94</v>
      </c>
      <c r="H542" s="6"/>
      <c r="I542" s="12" t="s">
        <v>674</v>
      </c>
      <c r="J542" s="6"/>
      <c r="K542" s="6"/>
      <c r="L542" s="12" t="s">
        <v>862</v>
      </c>
      <c r="M542" s="6"/>
      <c r="N542" s="6"/>
      <c r="O542" s="6"/>
      <c r="P542" s="9"/>
      <c r="Q542" s="9"/>
      <c r="R542" s="9"/>
      <c r="S542" s="9"/>
      <c r="T542" s="9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29">
        <f>2*7</f>
        <v>14</v>
      </c>
      <c r="AL542" s="18"/>
      <c r="AM542" s="5"/>
      <c r="AN542" s="5"/>
      <c r="AO542" s="7">
        <f t="shared" si="9"/>
        <v>0</v>
      </c>
    </row>
    <row r="543" spans="1:41" s="8" customFormat="1" ht="39.950000000000003" customHeight="1" x14ac:dyDescent="0.25">
      <c r="A543" s="6"/>
      <c r="B543" s="6"/>
      <c r="C543" s="12" t="s">
        <v>20</v>
      </c>
      <c r="D543" s="12" t="s">
        <v>483</v>
      </c>
      <c r="E543" s="13">
        <v>201132340</v>
      </c>
      <c r="F543" s="14" t="s">
        <v>485</v>
      </c>
      <c r="G543" s="12" t="s">
        <v>94</v>
      </c>
      <c r="H543" s="6"/>
      <c r="I543" s="12" t="s">
        <v>674</v>
      </c>
      <c r="J543" s="6"/>
      <c r="K543" s="6"/>
      <c r="L543" s="12" t="s">
        <v>862</v>
      </c>
      <c r="M543" s="6"/>
      <c r="N543" s="6"/>
      <c r="O543" s="6"/>
      <c r="P543" s="9"/>
      <c r="Q543" s="9"/>
      <c r="R543" s="9"/>
      <c r="S543" s="9"/>
      <c r="T543" s="9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29">
        <f>2*7</f>
        <v>14</v>
      </c>
      <c r="AL543" s="18"/>
      <c r="AM543" s="5"/>
      <c r="AN543" s="5"/>
      <c r="AO543" s="7">
        <f t="shared" si="9"/>
        <v>0</v>
      </c>
    </row>
    <row r="544" spans="1:41" s="8" customFormat="1" ht="39.950000000000003" customHeight="1" x14ac:dyDescent="0.25">
      <c r="A544" s="6"/>
      <c r="B544" s="6"/>
      <c r="C544" s="12" t="s">
        <v>20</v>
      </c>
      <c r="D544" s="12" t="s">
        <v>483</v>
      </c>
      <c r="E544" s="13">
        <v>201132350</v>
      </c>
      <c r="F544" s="14" t="s">
        <v>1166</v>
      </c>
      <c r="G544" s="12" t="s">
        <v>94</v>
      </c>
      <c r="H544" s="6"/>
      <c r="I544" s="12" t="s">
        <v>444</v>
      </c>
      <c r="J544" s="6"/>
      <c r="K544" s="6"/>
      <c r="L544" s="12" t="s">
        <v>811</v>
      </c>
      <c r="M544" s="6"/>
      <c r="N544" s="6"/>
      <c r="O544" s="6"/>
      <c r="P544" s="9"/>
      <c r="Q544" s="9"/>
      <c r="R544" s="9"/>
      <c r="S544" s="9"/>
      <c r="T544" s="9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29">
        <f>2*7</f>
        <v>14</v>
      </c>
      <c r="AL544" s="18"/>
      <c r="AM544" s="5"/>
      <c r="AN544" s="5"/>
      <c r="AO544" s="7">
        <f t="shared" si="9"/>
        <v>0</v>
      </c>
    </row>
    <row r="545" spans="1:41" s="8" customFormat="1" ht="39.950000000000003" customHeight="1" x14ac:dyDescent="0.25">
      <c r="A545" s="6"/>
      <c r="B545" s="6"/>
      <c r="C545" s="12" t="s">
        <v>20</v>
      </c>
      <c r="D545" s="12" t="s">
        <v>583</v>
      </c>
      <c r="E545" s="13">
        <v>201132710</v>
      </c>
      <c r="F545" s="14" t="s">
        <v>584</v>
      </c>
      <c r="G545" s="12" t="s">
        <v>94</v>
      </c>
      <c r="H545" s="6"/>
      <c r="I545" s="12" t="s">
        <v>660</v>
      </c>
      <c r="J545" s="6"/>
      <c r="K545" s="6"/>
      <c r="L545" s="12" t="s">
        <v>880</v>
      </c>
      <c r="M545" s="6"/>
      <c r="N545" s="6"/>
      <c r="O545" s="6"/>
      <c r="P545" s="9"/>
      <c r="Q545" s="9"/>
      <c r="R545" s="9"/>
      <c r="S545" s="9"/>
      <c r="T545" s="9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29">
        <f>150.6*7</f>
        <v>1054.2</v>
      </c>
      <c r="AL545" s="18"/>
      <c r="AM545" s="5"/>
      <c r="AN545" s="5"/>
      <c r="AO545" s="7">
        <f t="shared" si="9"/>
        <v>0</v>
      </c>
    </row>
    <row r="546" spans="1:41" s="8" customFormat="1" ht="39.950000000000003" customHeight="1" x14ac:dyDescent="0.25">
      <c r="A546" s="6"/>
      <c r="B546" s="6"/>
      <c r="C546" s="12" t="s">
        <v>20</v>
      </c>
      <c r="D546" s="12" t="s">
        <v>583</v>
      </c>
      <c r="E546" s="13">
        <v>201132810</v>
      </c>
      <c r="F546" s="14" t="s">
        <v>585</v>
      </c>
      <c r="G546" s="12" t="s">
        <v>94</v>
      </c>
      <c r="H546" s="6"/>
      <c r="I546" s="12" t="s">
        <v>660</v>
      </c>
      <c r="J546" s="6"/>
      <c r="K546" s="6"/>
      <c r="L546" s="12" t="s">
        <v>880</v>
      </c>
      <c r="M546" s="6"/>
      <c r="N546" s="6"/>
      <c r="O546" s="6"/>
      <c r="P546" s="9"/>
      <c r="Q546" s="9"/>
      <c r="R546" s="9"/>
      <c r="S546" s="9"/>
      <c r="T546" s="9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29">
        <f>3*7</f>
        <v>21</v>
      </c>
      <c r="AL546" s="18"/>
      <c r="AM546" s="5"/>
      <c r="AN546" s="5"/>
      <c r="AO546" s="7">
        <f t="shared" si="9"/>
        <v>0</v>
      </c>
    </row>
    <row r="547" spans="1:41" s="8" customFormat="1" ht="39.950000000000003" customHeight="1" x14ac:dyDescent="0.25">
      <c r="A547" s="6"/>
      <c r="B547" s="6"/>
      <c r="C547" s="12" t="s">
        <v>20</v>
      </c>
      <c r="D547" s="12" t="s">
        <v>583</v>
      </c>
      <c r="E547" s="13">
        <v>201132910</v>
      </c>
      <c r="F547" s="14" t="s">
        <v>586</v>
      </c>
      <c r="G547" s="12" t="s">
        <v>94</v>
      </c>
      <c r="H547" s="6"/>
      <c r="I547" s="12" t="s">
        <v>660</v>
      </c>
      <c r="J547" s="6"/>
      <c r="K547" s="6"/>
      <c r="L547" s="12" t="s">
        <v>880</v>
      </c>
      <c r="M547" s="6"/>
      <c r="N547" s="6"/>
      <c r="O547" s="6"/>
      <c r="P547" s="9"/>
      <c r="Q547" s="9"/>
      <c r="R547" s="9"/>
      <c r="S547" s="9"/>
      <c r="T547" s="9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29">
        <f>5.83*7</f>
        <v>40.81</v>
      </c>
      <c r="AL547" s="18"/>
      <c r="AM547" s="5"/>
      <c r="AN547" s="5"/>
      <c r="AO547" s="7">
        <f t="shared" si="9"/>
        <v>0</v>
      </c>
    </row>
    <row r="548" spans="1:41" s="8" customFormat="1" ht="39.950000000000003" customHeight="1" x14ac:dyDescent="0.25">
      <c r="A548" s="6"/>
      <c r="B548" s="6"/>
      <c r="C548" s="12" t="s">
        <v>20</v>
      </c>
      <c r="D548" s="12" t="s">
        <v>583</v>
      </c>
      <c r="E548" s="13">
        <v>201133110</v>
      </c>
      <c r="F548" s="14" t="s">
        <v>587</v>
      </c>
      <c r="G548" s="12" t="s">
        <v>94</v>
      </c>
      <c r="H548" s="6"/>
      <c r="I548" s="12" t="s">
        <v>660</v>
      </c>
      <c r="J548" s="6"/>
      <c r="K548" s="6"/>
      <c r="L548" s="12" t="s">
        <v>880</v>
      </c>
      <c r="M548" s="6"/>
      <c r="N548" s="6"/>
      <c r="O548" s="6"/>
      <c r="P548" s="9"/>
      <c r="Q548" s="9"/>
      <c r="R548" s="9"/>
      <c r="S548" s="9"/>
      <c r="T548" s="9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29">
        <f>10.83*7</f>
        <v>75.81</v>
      </c>
      <c r="AL548" s="18"/>
      <c r="AM548" s="5"/>
      <c r="AN548" s="5"/>
      <c r="AO548" s="7">
        <f t="shared" si="9"/>
        <v>0</v>
      </c>
    </row>
    <row r="549" spans="1:41" s="8" customFormat="1" ht="39.950000000000003" customHeight="1" x14ac:dyDescent="0.25">
      <c r="A549" s="6"/>
      <c r="B549" s="6"/>
      <c r="C549" s="12" t="s">
        <v>20</v>
      </c>
      <c r="D549" s="12" t="s">
        <v>540</v>
      </c>
      <c r="E549" s="13">
        <v>201133407</v>
      </c>
      <c r="F549" s="14" t="s">
        <v>541</v>
      </c>
      <c r="G549" s="12" t="s">
        <v>94</v>
      </c>
      <c r="H549" s="6"/>
      <c r="I549" s="12" t="s">
        <v>94</v>
      </c>
      <c r="J549" s="6"/>
      <c r="K549" s="6"/>
      <c r="L549" s="12" t="s">
        <v>879</v>
      </c>
      <c r="M549" s="6"/>
      <c r="N549" s="6"/>
      <c r="O549" s="6"/>
      <c r="P549" s="9"/>
      <c r="Q549" s="9"/>
      <c r="R549" s="9"/>
      <c r="S549" s="9"/>
      <c r="T549" s="9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29">
        <f>83*7</f>
        <v>581</v>
      </c>
      <c r="AL549" s="18"/>
      <c r="AM549" s="5"/>
      <c r="AN549" s="5"/>
      <c r="AO549" s="7">
        <f t="shared" si="9"/>
        <v>0</v>
      </c>
    </row>
    <row r="550" spans="1:41" s="8" customFormat="1" ht="39.950000000000003" customHeight="1" x14ac:dyDescent="0.25">
      <c r="A550" s="6"/>
      <c r="B550" s="6"/>
      <c r="C550" s="12" t="s">
        <v>20</v>
      </c>
      <c r="D550" s="12" t="s">
        <v>540</v>
      </c>
      <c r="E550" s="13">
        <v>201133507</v>
      </c>
      <c r="F550" s="14" t="s">
        <v>542</v>
      </c>
      <c r="G550" s="12" t="s">
        <v>94</v>
      </c>
      <c r="H550" s="6"/>
      <c r="I550" s="12" t="s">
        <v>94</v>
      </c>
      <c r="J550" s="6"/>
      <c r="K550" s="6"/>
      <c r="L550" s="12" t="s">
        <v>879</v>
      </c>
      <c r="M550" s="6"/>
      <c r="N550" s="6"/>
      <c r="O550" s="6"/>
      <c r="P550" s="9"/>
      <c r="Q550" s="9"/>
      <c r="R550" s="9"/>
      <c r="S550" s="9"/>
      <c r="T550" s="9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29">
        <f>5.5*7</f>
        <v>38.5</v>
      </c>
      <c r="AL550" s="18"/>
      <c r="AM550" s="5"/>
      <c r="AN550" s="5"/>
      <c r="AO550" s="7">
        <f t="shared" si="9"/>
        <v>0</v>
      </c>
    </row>
    <row r="551" spans="1:41" s="8" customFormat="1" ht="39.950000000000003" customHeight="1" x14ac:dyDescent="0.25">
      <c r="A551" s="6"/>
      <c r="B551" s="6"/>
      <c r="C551" s="12" t="s">
        <v>20</v>
      </c>
      <c r="D551" s="12" t="s">
        <v>543</v>
      </c>
      <c r="E551" s="13">
        <v>201134810</v>
      </c>
      <c r="F551" s="14" t="s">
        <v>544</v>
      </c>
      <c r="G551" s="12" t="s">
        <v>94</v>
      </c>
      <c r="H551" s="6"/>
      <c r="I551" s="12" t="s">
        <v>660</v>
      </c>
      <c r="J551" s="6"/>
      <c r="K551" s="6"/>
      <c r="L551" s="12" t="s">
        <v>879</v>
      </c>
      <c r="M551" s="6"/>
      <c r="N551" s="6"/>
      <c r="O551" s="6"/>
      <c r="P551" s="9"/>
      <c r="Q551" s="9"/>
      <c r="R551" s="9"/>
      <c r="S551" s="9"/>
      <c r="T551" s="9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29">
        <f>7.33*7</f>
        <v>51.31</v>
      </c>
      <c r="AL551" s="18"/>
      <c r="AM551" s="5"/>
      <c r="AN551" s="5"/>
      <c r="AO551" s="7">
        <f t="shared" si="9"/>
        <v>0</v>
      </c>
    </row>
    <row r="552" spans="1:41" s="8" customFormat="1" ht="39.950000000000003" customHeight="1" x14ac:dyDescent="0.25">
      <c r="A552" s="6"/>
      <c r="B552" s="6"/>
      <c r="C552" s="12" t="s">
        <v>20</v>
      </c>
      <c r="D552" s="12" t="s">
        <v>543</v>
      </c>
      <c r="E552" s="13">
        <v>201134910</v>
      </c>
      <c r="F552" s="14" t="s">
        <v>545</v>
      </c>
      <c r="G552" s="12" t="s">
        <v>94</v>
      </c>
      <c r="H552" s="6"/>
      <c r="I552" s="12" t="s">
        <v>660</v>
      </c>
      <c r="J552" s="6"/>
      <c r="K552" s="6"/>
      <c r="L552" s="12" t="s">
        <v>879</v>
      </c>
      <c r="M552" s="6"/>
      <c r="N552" s="6"/>
      <c r="O552" s="6"/>
      <c r="P552" s="9"/>
      <c r="Q552" s="9"/>
      <c r="R552" s="9"/>
      <c r="S552" s="9"/>
      <c r="T552" s="9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29">
        <f>100*7</f>
        <v>700</v>
      </c>
      <c r="AL552" s="18"/>
      <c r="AM552" s="5"/>
      <c r="AN552" s="5"/>
      <c r="AO552" s="7">
        <f t="shared" si="9"/>
        <v>0</v>
      </c>
    </row>
    <row r="553" spans="1:41" s="8" customFormat="1" ht="39.950000000000003" customHeight="1" x14ac:dyDescent="0.25">
      <c r="A553" s="6"/>
      <c r="B553" s="6"/>
      <c r="C553" s="12" t="s">
        <v>20</v>
      </c>
      <c r="D553" s="12" t="s">
        <v>534</v>
      </c>
      <c r="E553" s="13">
        <v>201135210</v>
      </c>
      <c r="F553" s="14" t="s">
        <v>535</v>
      </c>
      <c r="G553" s="12" t="s">
        <v>94</v>
      </c>
      <c r="H553" s="6"/>
      <c r="I553" s="12" t="s">
        <v>660</v>
      </c>
      <c r="J553" s="6"/>
      <c r="K553" s="6"/>
      <c r="L553" s="12" t="s">
        <v>879</v>
      </c>
      <c r="M553" s="6"/>
      <c r="N553" s="6"/>
      <c r="O553" s="6"/>
      <c r="P553" s="9"/>
      <c r="Q553" s="9"/>
      <c r="R553" s="9"/>
      <c r="S553" s="9"/>
      <c r="T553" s="9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29">
        <f>1*7</f>
        <v>7</v>
      </c>
      <c r="AL553" s="18"/>
      <c r="AM553" s="5"/>
      <c r="AN553" s="5"/>
      <c r="AO553" s="7">
        <f t="shared" si="9"/>
        <v>0</v>
      </c>
    </row>
    <row r="554" spans="1:41" s="8" customFormat="1" ht="39.950000000000003" customHeight="1" x14ac:dyDescent="0.25">
      <c r="A554" s="6"/>
      <c r="B554" s="6"/>
      <c r="C554" s="12" t="s">
        <v>20</v>
      </c>
      <c r="D554" s="12" t="s">
        <v>534</v>
      </c>
      <c r="E554" s="13">
        <v>201135310</v>
      </c>
      <c r="F554" s="14" t="s">
        <v>536</v>
      </c>
      <c r="G554" s="12" t="s">
        <v>94</v>
      </c>
      <c r="H554" s="6"/>
      <c r="I554" s="12" t="s">
        <v>660</v>
      </c>
      <c r="J554" s="6"/>
      <c r="K554" s="6"/>
      <c r="L554" s="12" t="s">
        <v>879</v>
      </c>
      <c r="M554" s="6"/>
      <c r="N554" s="6"/>
      <c r="O554" s="6"/>
      <c r="P554" s="9"/>
      <c r="Q554" s="9"/>
      <c r="R554" s="9"/>
      <c r="S554" s="9"/>
      <c r="T554" s="9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29">
        <f>114.33*7</f>
        <v>800.31</v>
      </c>
      <c r="AL554" s="18"/>
      <c r="AM554" s="5"/>
      <c r="AN554" s="5"/>
      <c r="AO554" s="7">
        <f t="shared" si="9"/>
        <v>0</v>
      </c>
    </row>
    <row r="555" spans="1:41" s="8" customFormat="1" ht="39.950000000000003" customHeight="1" x14ac:dyDescent="0.25">
      <c r="A555" s="6"/>
      <c r="B555" s="6"/>
      <c r="C555" s="12" t="s">
        <v>20</v>
      </c>
      <c r="D555" s="12" t="s">
        <v>475</v>
      </c>
      <c r="E555" s="23">
        <v>201136610</v>
      </c>
      <c r="F555" s="24" t="s">
        <v>1034</v>
      </c>
      <c r="G555" s="12" t="s">
        <v>94</v>
      </c>
      <c r="H555" s="6"/>
      <c r="I555" s="12" t="s">
        <v>674</v>
      </c>
      <c r="J555" s="6"/>
      <c r="K555" s="6"/>
      <c r="L555" s="12" t="s">
        <v>862</v>
      </c>
      <c r="M555" s="6"/>
      <c r="N555" s="6"/>
      <c r="O555" s="6"/>
      <c r="P555" s="9"/>
      <c r="Q555" s="9"/>
      <c r="R555" s="9"/>
      <c r="S555" s="9"/>
      <c r="T555" s="9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29">
        <f>10*7</f>
        <v>70</v>
      </c>
      <c r="AL555" s="18"/>
      <c r="AM555" s="5"/>
      <c r="AN555" s="5"/>
      <c r="AO555" s="7">
        <f t="shared" si="9"/>
        <v>0</v>
      </c>
    </row>
    <row r="556" spans="1:41" s="8" customFormat="1" ht="39.950000000000003" customHeight="1" x14ac:dyDescent="0.25">
      <c r="A556" s="6"/>
      <c r="B556" s="6"/>
      <c r="C556" s="12" t="s">
        <v>20</v>
      </c>
      <c r="D556" s="12" t="s">
        <v>475</v>
      </c>
      <c r="E556" s="13">
        <v>201136710</v>
      </c>
      <c r="F556" s="14" t="s">
        <v>476</v>
      </c>
      <c r="G556" s="12" t="s">
        <v>94</v>
      </c>
      <c r="H556" s="6"/>
      <c r="I556" s="12" t="s">
        <v>674</v>
      </c>
      <c r="J556" s="6"/>
      <c r="K556" s="6"/>
      <c r="L556" s="12" t="s">
        <v>1167</v>
      </c>
      <c r="M556" s="6"/>
      <c r="N556" s="6"/>
      <c r="O556" s="6"/>
      <c r="P556" s="9"/>
      <c r="Q556" s="9"/>
      <c r="R556" s="9"/>
      <c r="S556" s="9"/>
      <c r="T556" s="9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29">
        <f>8.75*7</f>
        <v>61.25</v>
      </c>
      <c r="AL556" s="18"/>
      <c r="AM556" s="5"/>
      <c r="AN556" s="5"/>
      <c r="AO556" s="7">
        <f t="shared" si="9"/>
        <v>0</v>
      </c>
    </row>
    <row r="557" spans="1:41" s="8" customFormat="1" ht="39.950000000000003" customHeight="1" x14ac:dyDescent="0.25">
      <c r="A557" s="6"/>
      <c r="B557" s="6"/>
      <c r="C557" s="12" t="s">
        <v>20</v>
      </c>
      <c r="D557" s="12" t="s">
        <v>537</v>
      </c>
      <c r="E557" s="13">
        <v>201140209</v>
      </c>
      <c r="F557" s="14" t="s">
        <v>538</v>
      </c>
      <c r="G557" s="12" t="s">
        <v>99</v>
      </c>
      <c r="H557" s="6"/>
      <c r="I557" s="12" t="s">
        <v>94</v>
      </c>
      <c r="J557" s="6"/>
      <c r="K557" s="6"/>
      <c r="L557" s="12" t="s">
        <v>879</v>
      </c>
      <c r="M557" s="6"/>
      <c r="N557" s="6"/>
      <c r="O557" s="6"/>
      <c r="P557" s="9"/>
      <c r="Q557" s="9"/>
      <c r="R557" s="9"/>
      <c r="S557" s="9"/>
      <c r="T557" s="9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29">
        <f>549*7</f>
        <v>3843</v>
      </c>
      <c r="AL557" s="18"/>
      <c r="AM557" s="5"/>
      <c r="AN557" s="5"/>
      <c r="AO557" s="7">
        <f t="shared" si="9"/>
        <v>0</v>
      </c>
    </row>
    <row r="558" spans="1:41" s="8" customFormat="1" ht="39.950000000000003" customHeight="1" x14ac:dyDescent="0.25">
      <c r="A558" s="6"/>
      <c r="B558" s="6"/>
      <c r="C558" s="12" t="s">
        <v>20</v>
      </c>
      <c r="D558" s="12" t="s">
        <v>537</v>
      </c>
      <c r="E558" s="13">
        <v>201140409</v>
      </c>
      <c r="F558" s="14" t="s">
        <v>539</v>
      </c>
      <c r="G558" s="12" t="s">
        <v>99</v>
      </c>
      <c r="H558" s="6"/>
      <c r="I558" s="12" t="s">
        <v>94</v>
      </c>
      <c r="J558" s="6"/>
      <c r="K558" s="6"/>
      <c r="L558" s="12" t="s">
        <v>879</v>
      </c>
      <c r="M558" s="6"/>
      <c r="N558" s="6"/>
      <c r="O558" s="6"/>
      <c r="P558" s="9"/>
      <c r="Q558" s="9"/>
      <c r="R558" s="9"/>
      <c r="S558" s="9"/>
      <c r="T558" s="9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29">
        <f>386*7</f>
        <v>2702</v>
      </c>
      <c r="AL558" s="18"/>
      <c r="AM558" s="5"/>
      <c r="AN558" s="5"/>
      <c r="AO558" s="7">
        <f t="shared" si="9"/>
        <v>0</v>
      </c>
    </row>
    <row r="559" spans="1:41" s="8" customFormat="1" ht="39.950000000000003" customHeight="1" x14ac:dyDescent="0.25">
      <c r="A559" s="6"/>
      <c r="B559" s="6"/>
      <c r="C559" s="12" t="s">
        <v>20</v>
      </c>
      <c r="D559" s="12" t="s">
        <v>477</v>
      </c>
      <c r="E559" s="13">
        <v>201140509</v>
      </c>
      <c r="F559" s="14" t="s">
        <v>478</v>
      </c>
      <c r="G559" s="12" t="s">
        <v>99</v>
      </c>
      <c r="H559" s="6"/>
      <c r="I559" s="12" t="s">
        <v>674</v>
      </c>
      <c r="J559" s="6"/>
      <c r="K559" s="6"/>
      <c r="L559" s="12" t="s">
        <v>863</v>
      </c>
      <c r="M559" s="6"/>
      <c r="N559" s="6"/>
      <c r="O559" s="6"/>
      <c r="P559" s="9"/>
      <c r="Q559" s="9"/>
      <c r="R559" s="9"/>
      <c r="S559" s="9"/>
      <c r="T559" s="9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29">
        <f>88*7</f>
        <v>616</v>
      </c>
      <c r="AL559" s="18"/>
      <c r="AM559" s="5"/>
      <c r="AN559" s="5"/>
      <c r="AO559" s="7">
        <f t="shared" si="9"/>
        <v>0</v>
      </c>
    </row>
    <row r="560" spans="1:41" s="8" customFormat="1" ht="39.950000000000003" customHeight="1" x14ac:dyDescent="0.25">
      <c r="A560" s="6"/>
      <c r="B560" s="6"/>
      <c r="C560" s="12" t="s">
        <v>20</v>
      </c>
      <c r="D560" s="12" t="s">
        <v>477</v>
      </c>
      <c r="E560" s="13">
        <v>201140609</v>
      </c>
      <c r="F560" s="14" t="s">
        <v>479</v>
      </c>
      <c r="G560" s="12" t="s">
        <v>99</v>
      </c>
      <c r="H560" s="6"/>
      <c r="I560" s="12" t="s">
        <v>674</v>
      </c>
      <c r="J560" s="6"/>
      <c r="K560" s="6"/>
      <c r="L560" s="12" t="s">
        <v>863</v>
      </c>
      <c r="M560" s="6"/>
      <c r="N560" s="6"/>
      <c r="O560" s="6"/>
      <c r="P560" s="9"/>
      <c r="Q560" s="9"/>
      <c r="R560" s="9"/>
      <c r="S560" s="9"/>
      <c r="T560" s="9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29">
        <f>170*7</f>
        <v>1190</v>
      </c>
      <c r="AL560" s="18"/>
      <c r="AM560" s="5"/>
      <c r="AN560" s="5"/>
      <c r="AO560" s="7">
        <f t="shared" si="9"/>
        <v>0</v>
      </c>
    </row>
    <row r="561" spans="1:41" s="8" customFormat="1" ht="39.950000000000003" customHeight="1" x14ac:dyDescent="0.25">
      <c r="A561" s="15"/>
      <c r="B561" s="15"/>
      <c r="C561" s="12" t="s">
        <v>20</v>
      </c>
      <c r="D561" s="12" t="s">
        <v>106</v>
      </c>
      <c r="E561" s="13">
        <v>201140809</v>
      </c>
      <c r="F561" s="14" t="s">
        <v>97</v>
      </c>
      <c r="G561" s="12" t="s">
        <v>99</v>
      </c>
      <c r="H561" s="15"/>
      <c r="I561" s="12" t="s">
        <v>724</v>
      </c>
      <c r="J561" s="15"/>
      <c r="K561" s="15"/>
      <c r="L561" s="12" t="s">
        <v>923</v>
      </c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29">
        <f>1396*7</f>
        <v>9772</v>
      </c>
      <c r="AL561" s="18"/>
      <c r="AM561" s="15"/>
      <c r="AN561" s="15"/>
      <c r="AO561" s="7">
        <f t="shared" si="9"/>
        <v>0</v>
      </c>
    </row>
    <row r="562" spans="1:41" s="8" customFormat="1" ht="39.950000000000003" customHeight="1" x14ac:dyDescent="0.25">
      <c r="A562" s="15"/>
      <c r="B562" s="15"/>
      <c r="C562" s="12" t="s">
        <v>20</v>
      </c>
      <c r="D562" s="12" t="s">
        <v>106</v>
      </c>
      <c r="E562" s="13">
        <v>201141009</v>
      </c>
      <c r="F562" s="14" t="s">
        <v>98</v>
      </c>
      <c r="G562" s="12" t="s">
        <v>99</v>
      </c>
      <c r="H562" s="15"/>
      <c r="I562" s="12" t="s">
        <v>724</v>
      </c>
      <c r="J562" s="15"/>
      <c r="K562" s="15"/>
      <c r="L562" s="12" t="s">
        <v>923</v>
      </c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29">
        <f>593*7</f>
        <v>4151</v>
      </c>
      <c r="AL562" s="18"/>
      <c r="AM562" s="15"/>
      <c r="AN562" s="15"/>
      <c r="AO562" s="7">
        <f t="shared" si="9"/>
        <v>0</v>
      </c>
    </row>
    <row r="563" spans="1:41" s="8" customFormat="1" ht="39.950000000000003" customHeight="1" x14ac:dyDescent="0.25">
      <c r="A563" s="6"/>
      <c r="B563" s="6"/>
      <c r="C563" s="12" t="s">
        <v>20</v>
      </c>
      <c r="D563" s="12" t="s">
        <v>334</v>
      </c>
      <c r="E563" s="23">
        <v>201141109</v>
      </c>
      <c r="F563" s="24" t="s">
        <v>335</v>
      </c>
      <c r="G563" s="12" t="s">
        <v>99</v>
      </c>
      <c r="H563" s="6"/>
      <c r="I563" s="12" t="s">
        <v>661</v>
      </c>
      <c r="J563" s="6"/>
      <c r="K563" s="6"/>
      <c r="L563" s="12" t="s">
        <v>812</v>
      </c>
      <c r="M563" s="6"/>
      <c r="N563" s="6"/>
      <c r="O563" s="6"/>
      <c r="P563" s="9"/>
      <c r="Q563" s="9"/>
      <c r="R563" s="9"/>
      <c r="S563" s="9"/>
      <c r="T563" s="9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29">
        <f>432*7</f>
        <v>3024</v>
      </c>
      <c r="AL563" s="18"/>
      <c r="AM563" s="5"/>
      <c r="AN563" s="5"/>
      <c r="AO563" s="7">
        <f t="shared" si="9"/>
        <v>0</v>
      </c>
    </row>
    <row r="564" spans="1:41" s="8" customFormat="1" ht="39.950000000000003" customHeight="1" x14ac:dyDescent="0.25">
      <c r="A564" s="6"/>
      <c r="B564" s="6"/>
      <c r="C564" s="12" t="s">
        <v>20</v>
      </c>
      <c r="D564" s="12" t="s">
        <v>334</v>
      </c>
      <c r="E564" s="23">
        <v>201141209</v>
      </c>
      <c r="F564" s="24" t="s">
        <v>336</v>
      </c>
      <c r="G564" s="12" t="s">
        <v>99</v>
      </c>
      <c r="H564" s="6"/>
      <c r="I564" s="12" t="s">
        <v>661</v>
      </c>
      <c r="J564" s="6"/>
      <c r="K564" s="6"/>
      <c r="L564" s="12" t="s">
        <v>812</v>
      </c>
      <c r="M564" s="6"/>
      <c r="N564" s="6"/>
      <c r="O564" s="6"/>
      <c r="P564" s="9"/>
      <c r="Q564" s="9"/>
      <c r="R564" s="9"/>
      <c r="S564" s="9"/>
      <c r="T564" s="9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29">
        <f>388*7</f>
        <v>2716</v>
      </c>
      <c r="AL564" s="18"/>
      <c r="AM564" s="5"/>
      <c r="AN564" s="5"/>
      <c r="AO564" s="7">
        <f t="shared" si="9"/>
        <v>0</v>
      </c>
    </row>
    <row r="565" spans="1:41" s="8" customFormat="1" ht="39.950000000000003" customHeight="1" x14ac:dyDescent="0.25">
      <c r="A565" s="6"/>
      <c r="B565" s="6"/>
      <c r="C565" s="12" t="s">
        <v>20</v>
      </c>
      <c r="D565" s="12" t="s">
        <v>305</v>
      </c>
      <c r="E565" s="13">
        <v>201142310</v>
      </c>
      <c r="F565" s="14" t="s">
        <v>306</v>
      </c>
      <c r="G565" s="12" t="s">
        <v>94</v>
      </c>
      <c r="H565" s="6"/>
      <c r="I565" s="12" t="s">
        <v>444</v>
      </c>
      <c r="J565" s="6"/>
      <c r="K565" s="6"/>
      <c r="L565" s="12" t="s">
        <v>809</v>
      </c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29">
        <f>1*7</f>
        <v>7</v>
      </c>
      <c r="AL565" s="18"/>
      <c r="AM565" s="5"/>
      <c r="AN565" s="5"/>
      <c r="AO565" s="7">
        <f t="shared" si="9"/>
        <v>0</v>
      </c>
    </row>
    <row r="566" spans="1:41" s="8" customFormat="1" ht="39.950000000000003" customHeight="1" x14ac:dyDescent="0.25">
      <c r="A566" s="6"/>
      <c r="B566" s="6"/>
      <c r="C566" s="12" t="s">
        <v>20</v>
      </c>
      <c r="D566" s="12" t="s">
        <v>305</v>
      </c>
      <c r="E566" s="13">
        <v>201142410</v>
      </c>
      <c r="F566" s="14" t="s">
        <v>307</v>
      </c>
      <c r="G566" s="12" t="s">
        <v>94</v>
      </c>
      <c r="H566" s="6"/>
      <c r="I566" s="12" t="s">
        <v>444</v>
      </c>
      <c r="J566" s="6"/>
      <c r="K566" s="6"/>
      <c r="L566" s="12" t="s">
        <v>809</v>
      </c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29">
        <f>8.17*7</f>
        <v>57.19</v>
      </c>
      <c r="AL566" s="18"/>
      <c r="AM566" s="5"/>
      <c r="AN566" s="5"/>
      <c r="AO566" s="7">
        <f t="shared" si="9"/>
        <v>0</v>
      </c>
    </row>
    <row r="567" spans="1:41" s="8" customFormat="1" ht="39.950000000000003" customHeight="1" x14ac:dyDescent="0.25">
      <c r="A567" s="6"/>
      <c r="B567" s="6"/>
      <c r="C567" s="12" t="s">
        <v>20</v>
      </c>
      <c r="D567" s="12" t="s">
        <v>305</v>
      </c>
      <c r="E567" s="13">
        <v>201142510</v>
      </c>
      <c r="F567" s="14" t="s">
        <v>308</v>
      </c>
      <c r="G567" s="12" t="s">
        <v>94</v>
      </c>
      <c r="H567" s="6"/>
      <c r="I567" s="12" t="s">
        <v>444</v>
      </c>
      <c r="J567" s="6"/>
      <c r="K567" s="6"/>
      <c r="L567" s="12" t="s">
        <v>809</v>
      </c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29">
        <f>2*7</f>
        <v>14</v>
      </c>
      <c r="AL567" s="18"/>
      <c r="AM567" s="5"/>
      <c r="AN567" s="5"/>
      <c r="AO567" s="7">
        <f t="shared" si="9"/>
        <v>0</v>
      </c>
    </row>
    <row r="568" spans="1:41" s="8" customFormat="1" ht="39.950000000000003" customHeight="1" x14ac:dyDescent="0.25">
      <c r="A568" s="6"/>
      <c r="B568" s="6"/>
      <c r="C568" s="12" t="s">
        <v>20</v>
      </c>
      <c r="D568" s="12" t="s">
        <v>102</v>
      </c>
      <c r="E568" s="13">
        <v>201143511</v>
      </c>
      <c r="F568" s="14" t="s">
        <v>1168</v>
      </c>
      <c r="G568" s="12" t="s">
        <v>94</v>
      </c>
      <c r="H568" s="6"/>
      <c r="I568" s="12" t="s">
        <v>444</v>
      </c>
      <c r="J568" s="6"/>
      <c r="K568" s="6"/>
      <c r="L568" s="12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29">
        <v>10</v>
      </c>
      <c r="AL568" s="18"/>
      <c r="AM568" s="5"/>
      <c r="AN568" s="5"/>
      <c r="AO568" s="7">
        <f t="shared" si="9"/>
        <v>0</v>
      </c>
    </row>
    <row r="569" spans="1:41" s="8" customFormat="1" ht="39.950000000000003" customHeight="1" x14ac:dyDescent="0.25">
      <c r="A569" s="6"/>
      <c r="B569" s="6"/>
      <c r="C569" s="12" t="s">
        <v>20</v>
      </c>
      <c r="D569" s="12" t="s">
        <v>102</v>
      </c>
      <c r="E569" s="23">
        <v>201150201</v>
      </c>
      <c r="F569" s="24" t="s">
        <v>987</v>
      </c>
      <c r="G569" s="12" t="s">
        <v>444</v>
      </c>
      <c r="H569" s="6"/>
      <c r="I569" s="12" t="s">
        <v>681</v>
      </c>
      <c r="J569" s="6"/>
      <c r="K569" s="6"/>
      <c r="L569" s="12" t="s">
        <v>845</v>
      </c>
      <c r="M569" s="6"/>
      <c r="N569" s="6"/>
      <c r="O569" s="6"/>
      <c r="P569" s="9"/>
      <c r="Q569" s="9"/>
      <c r="R569" s="9"/>
      <c r="S569" s="9"/>
      <c r="T569" s="9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29">
        <f>369.17*7</f>
        <v>2584.19</v>
      </c>
      <c r="AL569" s="18"/>
      <c r="AM569" s="5"/>
      <c r="AN569" s="5"/>
      <c r="AO569" s="7">
        <f t="shared" si="9"/>
        <v>0</v>
      </c>
    </row>
    <row r="570" spans="1:41" s="8" customFormat="1" ht="39.950000000000003" customHeight="1" x14ac:dyDescent="0.25">
      <c r="A570" s="6"/>
      <c r="B570" s="6"/>
      <c r="C570" s="12" t="s">
        <v>20</v>
      </c>
      <c r="D570" s="12" t="s">
        <v>102</v>
      </c>
      <c r="E570" s="13">
        <v>201150305</v>
      </c>
      <c r="F570" s="14" t="s">
        <v>252</v>
      </c>
      <c r="G570" s="12" t="s">
        <v>253</v>
      </c>
      <c r="H570" s="6"/>
      <c r="I570" s="12" t="s">
        <v>655</v>
      </c>
      <c r="J570" s="6"/>
      <c r="K570" s="6"/>
      <c r="L570" s="12" t="s">
        <v>774</v>
      </c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29">
        <f>119*7</f>
        <v>833</v>
      </c>
      <c r="AL570" s="18"/>
      <c r="AM570" s="5"/>
      <c r="AN570" s="5"/>
      <c r="AO570" s="7">
        <f t="shared" si="9"/>
        <v>0</v>
      </c>
    </row>
    <row r="571" spans="1:41" s="8" customFormat="1" ht="39.950000000000003" customHeight="1" x14ac:dyDescent="0.25">
      <c r="A571" s="6"/>
      <c r="B571" s="6"/>
      <c r="C571" s="12" t="s">
        <v>20</v>
      </c>
      <c r="D571" s="12" t="s">
        <v>102</v>
      </c>
      <c r="E571" s="13">
        <v>201150610</v>
      </c>
      <c r="F571" s="14" t="s">
        <v>573</v>
      </c>
      <c r="G571" s="12" t="s">
        <v>94</v>
      </c>
      <c r="H571" s="6"/>
      <c r="I571" s="12" t="s">
        <v>94</v>
      </c>
      <c r="J571" s="6"/>
      <c r="K571" s="6"/>
      <c r="L571" s="12" t="s">
        <v>886</v>
      </c>
      <c r="M571" s="6"/>
      <c r="N571" s="6"/>
      <c r="O571" s="6"/>
      <c r="P571" s="9"/>
      <c r="Q571" s="9"/>
      <c r="R571" s="9"/>
      <c r="S571" s="9"/>
      <c r="T571" s="9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29">
        <f>2600*7</f>
        <v>18200</v>
      </c>
      <c r="AL571" s="18"/>
      <c r="AM571" s="5"/>
      <c r="AN571" s="5"/>
      <c r="AO571" s="7">
        <f t="shared" si="9"/>
        <v>0</v>
      </c>
    </row>
    <row r="572" spans="1:41" s="8" customFormat="1" ht="39.950000000000003" customHeight="1" x14ac:dyDescent="0.25">
      <c r="A572" s="15"/>
      <c r="B572" s="15"/>
      <c r="C572" s="12" t="s">
        <v>20</v>
      </c>
      <c r="D572" s="12" t="s">
        <v>102</v>
      </c>
      <c r="E572" s="13">
        <v>201150710</v>
      </c>
      <c r="F572" s="14" t="s">
        <v>111</v>
      </c>
      <c r="G572" s="12" t="s">
        <v>94</v>
      </c>
      <c r="H572" s="15"/>
      <c r="I572" s="12" t="s">
        <v>713</v>
      </c>
      <c r="J572" s="15"/>
      <c r="K572" s="15"/>
      <c r="L572" s="12" t="s">
        <v>924</v>
      </c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29">
        <f>32*7</f>
        <v>224</v>
      </c>
      <c r="AL572" s="18"/>
      <c r="AM572" s="15"/>
      <c r="AN572" s="15"/>
      <c r="AO572" s="7">
        <f t="shared" si="9"/>
        <v>0</v>
      </c>
    </row>
    <row r="573" spans="1:41" s="8" customFormat="1" ht="39.950000000000003" customHeight="1" x14ac:dyDescent="0.25">
      <c r="A573" s="6"/>
      <c r="B573" s="6"/>
      <c r="C573" s="12" t="s">
        <v>20</v>
      </c>
      <c r="D573" s="12" t="s">
        <v>102</v>
      </c>
      <c r="E573" s="13">
        <v>201150809</v>
      </c>
      <c r="F573" s="14" t="s">
        <v>574</v>
      </c>
      <c r="G573" s="12" t="s">
        <v>99</v>
      </c>
      <c r="H573" s="6"/>
      <c r="I573" s="12" t="s">
        <v>697</v>
      </c>
      <c r="J573" s="6"/>
      <c r="K573" s="6"/>
      <c r="L573" s="12" t="s">
        <v>1169</v>
      </c>
      <c r="M573" s="6"/>
      <c r="N573" s="6"/>
      <c r="O573" s="6"/>
      <c r="P573" s="9"/>
      <c r="Q573" s="9"/>
      <c r="R573" s="9"/>
      <c r="S573" s="9"/>
      <c r="T573" s="9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29">
        <f>7.5*7</f>
        <v>52.5</v>
      </c>
      <c r="AL573" s="18"/>
      <c r="AM573" s="5"/>
      <c r="AN573" s="5"/>
      <c r="AO573" s="7">
        <f t="shared" si="9"/>
        <v>0</v>
      </c>
    </row>
    <row r="574" spans="1:41" s="8" customFormat="1" ht="39.950000000000003" customHeight="1" x14ac:dyDescent="0.25">
      <c r="A574" s="6"/>
      <c r="B574" s="6"/>
      <c r="C574" s="12" t="s">
        <v>20</v>
      </c>
      <c r="D574" s="12" t="s">
        <v>102</v>
      </c>
      <c r="E574" s="13">
        <v>201150910</v>
      </c>
      <c r="F574" s="14" t="s">
        <v>591</v>
      </c>
      <c r="G574" s="12" t="s">
        <v>94</v>
      </c>
      <c r="H574" s="6"/>
      <c r="I574" s="12" t="s">
        <v>444</v>
      </c>
      <c r="J574" s="6"/>
      <c r="K574" s="6"/>
      <c r="L574" s="12" t="s">
        <v>888</v>
      </c>
      <c r="M574" s="6"/>
      <c r="N574" s="6"/>
      <c r="O574" s="6"/>
      <c r="P574" s="9"/>
      <c r="Q574" s="9"/>
      <c r="R574" s="9"/>
      <c r="S574" s="9"/>
      <c r="T574" s="9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29">
        <f>54*7</f>
        <v>378</v>
      </c>
      <c r="AL574" s="18"/>
      <c r="AM574" s="5"/>
      <c r="AN574" s="5"/>
      <c r="AO574" s="7">
        <f t="shared" si="9"/>
        <v>0</v>
      </c>
    </row>
    <row r="575" spans="1:41" s="8" customFormat="1" ht="39.950000000000003" customHeight="1" x14ac:dyDescent="0.25">
      <c r="A575" s="6"/>
      <c r="B575" s="6"/>
      <c r="C575" s="12" t="s">
        <v>20</v>
      </c>
      <c r="D575" s="12" t="s">
        <v>102</v>
      </c>
      <c r="E575" s="13">
        <v>201151005</v>
      </c>
      <c r="F575" s="14" t="s">
        <v>569</v>
      </c>
      <c r="G575" s="12" t="s">
        <v>58</v>
      </c>
      <c r="H575" s="6"/>
      <c r="I575" s="12" t="s">
        <v>695</v>
      </c>
      <c r="J575" s="6"/>
      <c r="K575" s="6"/>
      <c r="L575" s="12" t="s">
        <v>884</v>
      </c>
      <c r="M575" s="6"/>
      <c r="N575" s="6"/>
      <c r="O575" s="6"/>
      <c r="P575" s="9"/>
      <c r="Q575" s="9"/>
      <c r="R575" s="9"/>
      <c r="S575" s="9"/>
      <c r="T575" s="9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29">
        <f>235.67*7</f>
        <v>1649.6899999999998</v>
      </c>
      <c r="AL575" s="18"/>
      <c r="AM575" s="5"/>
      <c r="AN575" s="5"/>
      <c r="AO575" s="7">
        <f t="shared" si="9"/>
        <v>0</v>
      </c>
    </row>
    <row r="576" spans="1:41" s="8" customFormat="1" ht="39.950000000000003" customHeight="1" x14ac:dyDescent="0.25">
      <c r="A576" s="6"/>
      <c r="B576" s="6"/>
      <c r="C576" s="12" t="s">
        <v>20</v>
      </c>
      <c r="D576" s="12" t="s">
        <v>102</v>
      </c>
      <c r="E576" s="13">
        <v>201151306</v>
      </c>
      <c r="F576" s="14" t="s">
        <v>571</v>
      </c>
      <c r="G576" s="12" t="s">
        <v>572</v>
      </c>
      <c r="H576" s="6"/>
      <c r="I576" s="12" t="s">
        <v>696</v>
      </c>
      <c r="J576" s="6"/>
      <c r="K576" s="6"/>
      <c r="L576" s="12" t="s">
        <v>885</v>
      </c>
      <c r="M576" s="6"/>
      <c r="N576" s="6"/>
      <c r="O576" s="6"/>
      <c r="P576" s="9"/>
      <c r="Q576" s="9"/>
      <c r="R576" s="9"/>
      <c r="S576" s="9"/>
      <c r="T576" s="9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29">
        <f>5*7</f>
        <v>35</v>
      </c>
      <c r="AL576" s="18"/>
      <c r="AM576" s="5"/>
      <c r="AN576" s="5"/>
      <c r="AO576" s="7">
        <f t="shared" si="9"/>
        <v>0</v>
      </c>
    </row>
    <row r="577" spans="1:41" s="8" customFormat="1" ht="39.950000000000003" customHeight="1" x14ac:dyDescent="0.25">
      <c r="A577" s="6"/>
      <c r="B577" s="6"/>
      <c r="C577" s="12" t="s">
        <v>20</v>
      </c>
      <c r="D577" s="12" t="s">
        <v>102</v>
      </c>
      <c r="E577" s="13">
        <v>201151410</v>
      </c>
      <c r="F577" s="14" t="s">
        <v>529</v>
      </c>
      <c r="G577" s="12" t="s">
        <v>94</v>
      </c>
      <c r="H577" s="6"/>
      <c r="I577" s="12" t="s">
        <v>94</v>
      </c>
      <c r="J577" s="6"/>
      <c r="K577" s="6"/>
      <c r="L577" s="12" t="s">
        <v>879</v>
      </c>
      <c r="M577" s="6"/>
      <c r="N577" s="6"/>
      <c r="O577" s="6"/>
      <c r="P577" s="9"/>
      <c r="Q577" s="9"/>
      <c r="R577" s="9"/>
      <c r="S577" s="9"/>
      <c r="T577" s="9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29">
        <f>650*7</f>
        <v>4550</v>
      </c>
      <c r="AL577" s="18"/>
      <c r="AM577" s="5"/>
      <c r="AN577" s="5"/>
      <c r="AO577" s="7">
        <f t="shared" si="9"/>
        <v>0</v>
      </c>
    </row>
    <row r="578" spans="1:41" s="8" customFormat="1" ht="39.950000000000003" customHeight="1" x14ac:dyDescent="0.25">
      <c r="A578" s="6"/>
      <c r="B578" s="6"/>
      <c r="C578" s="12" t="s">
        <v>20</v>
      </c>
      <c r="D578" s="12" t="s">
        <v>102</v>
      </c>
      <c r="E578" s="13">
        <v>201151420</v>
      </c>
      <c r="F578" s="14" t="s">
        <v>1188</v>
      </c>
      <c r="G578" s="12" t="s">
        <v>94</v>
      </c>
      <c r="H578" s="6"/>
      <c r="I578" s="12" t="s">
        <v>94</v>
      </c>
      <c r="J578" s="6"/>
      <c r="K578" s="6"/>
      <c r="L578" s="12" t="s">
        <v>879</v>
      </c>
      <c r="M578" s="6"/>
      <c r="N578" s="6"/>
      <c r="O578" s="6"/>
      <c r="P578" s="9"/>
      <c r="Q578" s="9"/>
      <c r="R578" s="9"/>
      <c r="S578" s="9"/>
      <c r="T578" s="9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29">
        <f>5*7</f>
        <v>35</v>
      </c>
      <c r="AL578" s="18"/>
      <c r="AM578" s="5"/>
      <c r="AN578" s="5"/>
      <c r="AO578" s="7">
        <f t="shared" si="9"/>
        <v>0</v>
      </c>
    </row>
    <row r="579" spans="1:41" s="8" customFormat="1" ht="39.950000000000003" customHeight="1" x14ac:dyDescent="0.25">
      <c r="A579" s="6"/>
      <c r="B579" s="6"/>
      <c r="C579" s="12" t="s">
        <v>20</v>
      </c>
      <c r="D579" s="12" t="s">
        <v>102</v>
      </c>
      <c r="E579" s="13">
        <v>201151422</v>
      </c>
      <c r="F579" s="14" t="s">
        <v>1189</v>
      </c>
      <c r="G579" s="12" t="s">
        <v>94</v>
      </c>
      <c r="H579" s="6"/>
      <c r="I579" s="12" t="s">
        <v>94</v>
      </c>
      <c r="J579" s="6"/>
      <c r="K579" s="6"/>
      <c r="L579" s="12" t="s">
        <v>879</v>
      </c>
      <c r="M579" s="6"/>
      <c r="N579" s="6"/>
      <c r="O579" s="6"/>
      <c r="P579" s="9"/>
      <c r="Q579" s="9"/>
      <c r="R579" s="9"/>
      <c r="S579" s="9"/>
      <c r="T579" s="9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29">
        <f>1.5*7</f>
        <v>10.5</v>
      </c>
      <c r="AL579" s="18"/>
      <c r="AM579" s="5"/>
      <c r="AN579" s="5"/>
      <c r="AO579" s="7">
        <f t="shared" si="9"/>
        <v>0</v>
      </c>
    </row>
    <row r="580" spans="1:41" s="8" customFormat="1" ht="39.950000000000003" customHeight="1" x14ac:dyDescent="0.25">
      <c r="A580" s="6"/>
      <c r="B580" s="6"/>
      <c r="C580" s="12" t="s">
        <v>20</v>
      </c>
      <c r="D580" s="12" t="s">
        <v>438</v>
      </c>
      <c r="E580" s="23">
        <v>201151508</v>
      </c>
      <c r="F580" s="24" t="s">
        <v>439</v>
      </c>
      <c r="G580" s="12" t="s">
        <v>86</v>
      </c>
      <c r="H580" s="6"/>
      <c r="I580" s="12" t="s">
        <v>677</v>
      </c>
      <c r="J580" s="6"/>
      <c r="K580" s="6"/>
      <c r="L580" s="12"/>
      <c r="M580" s="6"/>
      <c r="N580" s="6"/>
      <c r="O580" s="6"/>
      <c r="P580" s="9"/>
      <c r="Q580" s="9"/>
      <c r="R580" s="9"/>
      <c r="S580" s="9"/>
      <c r="T580" s="9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29">
        <f>300*7</f>
        <v>2100</v>
      </c>
      <c r="AL580" s="18"/>
      <c r="AM580" s="5"/>
      <c r="AN580" s="5"/>
      <c r="AO580" s="7">
        <f t="shared" si="9"/>
        <v>0</v>
      </c>
    </row>
    <row r="581" spans="1:41" s="8" customFormat="1" ht="39.950000000000003" customHeight="1" x14ac:dyDescent="0.25">
      <c r="A581" s="6"/>
      <c r="B581" s="6"/>
      <c r="C581" s="12" t="s">
        <v>20</v>
      </c>
      <c r="D581" s="12" t="s">
        <v>438</v>
      </c>
      <c r="E581" s="23">
        <v>201151509</v>
      </c>
      <c r="F581" s="24" t="s">
        <v>440</v>
      </c>
      <c r="G581" s="12" t="s">
        <v>86</v>
      </c>
      <c r="H581" s="6"/>
      <c r="I581" s="12" t="s">
        <v>681</v>
      </c>
      <c r="J581" s="6"/>
      <c r="K581" s="6"/>
      <c r="L581" s="12"/>
      <c r="M581" s="6"/>
      <c r="N581" s="6"/>
      <c r="O581" s="6"/>
      <c r="P581" s="9"/>
      <c r="Q581" s="9"/>
      <c r="R581" s="9"/>
      <c r="S581" s="9"/>
      <c r="T581" s="9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29">
        <f>22*7</f>
        <v>154</v>
      </c>
      <c r="AL581" s="18"/>
      <c r="AM581" s="5"/>
      <c r="AN581" s="5"/>
      <c r="AO581" s="7">
        <f t="shared" si="9"/>
        <v>0</v>
      </c>
    </row>
    <row r="582" spans="1:41" s="8" customFormat="1" ht="39.950000000000003" customHeight="1" x14ac:dyDescent="0.25">
      <c r="A582" s="6"/>
      <c r="B582" s="6"/>
      <c r="C582" s="12" t="s">
        <v>20</v>
      </c>
      <c r="D582" s="12" t="s">
        <v>102</v>
      </c>
      <c r="E582" s="13">
        <v>201151550</v>
      </c>
      <c r="F582" s="14" t="s">
        <v>417</v>
      </c>
      <c r="G582" s="12" t="s">
        <v>58</v>
      </c>
      <c r="H582" s="6"/>
      <c r="I582" s="12" t="s">
        <v>677</v>
      </c>
      <c r="J582" s="6"/>
      <c r="K582" s="6"/>
      <c r="L582" s="12" t="s">
        <v>845</v>
      </c>
      <c r="M582" s="6"/>
      <c r="N582" s="6"/>
      <c r="O582" s="6"/>
      <c r="P582" s="9"/>
      <c r="Q582" s="9"/>
      <c r="R582" s="9"/>
      <c r="S582" s="9"/>
      <c r="T582" s="9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29">
        <f>100*7</f>
        <v>700</v>
      </c>
      <c r="AL582" s="18"/>
      <c r="AM582" s="5"/>
      <c r="AN582" s="5"/>
      <c r="AO582" s="7">
        <f t="shared" si="9"/>
        <v>0</v>
      </c>
    </row>
    <row r="583" spans="1:41" s="8" customFormat="1" ht="39.950000000000003" customHeight="1" x14ac:dyDescent="0.25">
      <c r="A583" s="6"/>
      <c r="B583" s="6"/>
      <c r="C583" s="12" t="s">
        <v>20</v>
      </c>
      <c r="D583" s="12" t="s">
        <v>592</v>
      </c>
      <c r="E583" s="23">
        <v>201151720</v>
      </c>
      <c r="F583" s="24" t="s">
        <v>998</v>
      </c>
      <c r="G583" s="12" t="s">
        <v>94</v>
      </c>
      <c r="H583" s="6"/>
      <c r="I583" s="12" t="s">
        <v>703</v>
      </c>
      <c r="J583" s="6"/>
      <c r="K583" s="6"/>
      <c r="L583" s="12"/>
      <c r="M583" s="6"/>
      <c r="N583" s="6"/>
      <c r="O583" s="6"/>
      <c r="P583" s="9"/>
      <c r="Q583" s="9"/>
      <c r="R583" s="9"/>
      <c r="S583" s="9"/>
      <c r="T583" s="9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29">
        <f>30*7</f>
        <v>210</v>
      </c>
      <c r="AL583" s="18"/>
      <c r="AM583" s="5"/>
      <c r="AN583" s="5"/>
      <c r="AO583" s="7">
        <f t="shared" si="9"/>
        <v>0</v>
      </c>
    </row>
    <row r="584" spans="1:41" s="8" customFormat="1" ht="39.950000000000003" customHeight="1" x14ac:dyDescent="0.25">
      <c r="A584" s="6"/>
      <c r="B584" s="6"/>
      <c r="C584" s="12" t="s">
        <v>20</v>
      </c>
      <c r="D584" s="12" t="s">
        <v>592</v>
      </c>
      <c r="E584" s="23">
        <v>201151730</v>
      </c>
      <c r="F584" s="24" t="s">
        <v>999</v>
      </c>
      <c r="G584" s="12" t="s">
        <v>94</v>
      </c>
      <c r="H584" s="6"/>
      <c r="I584" s="12" t="s">
        <v>703</v>
      </c>
      <c r="J584" s="6"/>
      <c r="K584" s="6"/>
      <c r="L584" s="12"/>
      <c r="M584" s="6"/>
      <c r="N584" s="6"/>
      <c r="O584" s="6"/>
      <c r="P584" s="9"/>
      <c r="Q584" s="9"/>
      <c r="R584" s="9"/>
      <c r="S584" s="9"/>
      <c r="T584" s="9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29">
        <f>3*7</f>
        <v>21</v>
      </c>
      <c r="AL584" s="18"/>
      <c r="AM584" s="5"/>
      <c r="AN584" s="5"/>
      <c r="AO584" s="7">
        <f t="shared" si="9"/>
        <v>0</v>
      </c>
    </row>
    <row r="585" spans="1:41" s="8" customFormat="1" ht="39.950000000000003" customHeight="1" x14ac:dyDescent="0.25">
      <c r="A585" s="6"/>
      <c r="B585" s="6"/>
      <c r="C585" s="12" t="s">
        <v>20</v>
      </c>
      <c r="D585" s="12" t="s">
        <v>592</v>
      </c>
      <c r="E585" s="13">
        <v>201151735</v>
      </c>
      <c r="F585" s="14" t="s">
        <v>1035</v>
      </c>
      <c r="G585" s="12" t="s">
        <v>94</v>
      </c>
      <c r="H585" s="6"/>
      <c r="I585" s="12"/>
      <c r="J585" s="6"/>
      <c r="K585" s="6"/>
      <c r="L585" s="12"/>
      <c r="M585" s="6"/>
      <c r="N585" s="6"/>
      <c r="O585" s="6"/>
      <c r="P585" s="9"/>
      <c r="Q585" s="9"/>
      <c r="R585" s="9"/>
      <c r="S585" s="9"/>
      <c r="T585" s="9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29">
        <f>2*7</f>
        <v>14</v>
      </c>
      <c r="AL585" s="18"/>
      <c r="AM585" s="5"/>
      <c r="AN585" s="5"/>
      <c r="AO585" s="7">
        <f t="shared" si="9"/>
        <v>0</v>
      </c>
    </row>
    <row r="586" spans="1:41" s="8" customFormat="1" ht="39.950000000000003" customHeight="1" x14ac:dyDescent="0.25">
      <c r="A586" s="6"/>
      <c r="B586" s="6"/>
      <c r="C586" s="12" t="s">
        <v>20</v>
      </c>
      <c r="D586" s="12" t="s">
        <v>576</v>
      </c>
      <c r="E586" s="13">
        <v>201151810</v>
      </c>
      <c r="F586" s="14" t="s">
        <v>577</v>
      </c>
      <c r="G586" s="12" t="s">
        <v>94</v>
      </c>
      <c r="H586" s="6"/>
      <c r="I586" s="12" t="s">
        <v>699</v>
      </c>
      <c r="J586" s="6"/>
      <c r="K586" s="6"/>
      <c r="L586" s="12" t="s">
        <v>886</v>
      </c>
      <c r="M586" s="6"/>
      <c r="N586" s="6"/>
      <c r="O586" s="6"/>
      <c r="P586" s="9"/>
      <c r="Q586" s="9"/>
      <c r="R586" s="9"/>
      <c r="S586" s="9"/>
      <c r="T586" s="9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29">
        <f>64.33*7</f>
        <v>450.31</v>
      </c>
      <c r="AL586" s="18"/>
      <c r="AM586" s="5"/>
      <c r="AN586" s="5"/>
      <c r="AO586" s="7">
        <f t="shared" si="9"/>
        <v>0</v>
      </c>
    </row>
    <row r="587" spans="1:41" s="8" customFormat="1" ht="39.950000000000003" customHeight="1" x14ac:dyDescent="0.25">
      <c r="A587" s="6"/>
      <c r="B587" s="6"/>
      <c r="C587" s="12" t="s">
        <v>20</v>
      </c>
      <c r="D587" s="12" t="s">
        <v>576</v>
      </c>
      <c r="E587" s="13">
        <v>201151910</v>
      </c>
      <c r="F587" s="14" t="s">
        <v>578</v>
      </c>
      <c r="G587" s="12" t="s">
        <v>94</v>
      </c>
      <c r="H587" s="6"/>
      <c r="I587" s="12" t="s">
        <v>699</v>
      </c>
      <c r="J587" s="6"/>
      <c r="K587" s="6"/>
      <c r="L587" s="12" t="s">
        <v>886</v>
      </c>
      <c r="M587" s="6"/>
      <c r="N587" s="6"/>
      <c r="O587" s="6"/>
      <c r="P587" s="9"/>
      <c r="Q587" s="9"/>
      <c r="R587" s="9"/>
      <c r="S587" s="9"/>
      <c r="T587" s="9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29">
        <f>63.17*7</f>
        <v>442.19</v>
      </c>
      <c r="AL587" s="18"/>
      <c r="AM587" s="5"/>
      <c r="AN587" s="5"/>
      <c r="AO587" s="7">
        <f t="shared" si="9"/>
        <v>0</v>
      </c>
    </row>
    <row r="588" spans="1:41" s="8" customFormat="1" ht="39.950000000000003" customHeight="1" x14ac:dyDescent="0.25">
      <c r="A588" s="6"/>
      <c r="B588" s="6"/>
      <c r="C588" s="12" t="s">
        <v>20</v>
      </c>
      <c r="D588" s="12" t="s">
        <v>102</v>
      </c>
      <c r="E588" s="13">
        <v>201152210</v>
      </c>
      <c r="F588" s="14" t="s">
        <v>565</v>
      </c>
      <c r="G588" s="12" t="s">
        <v>94</v>
      </c>
      <c r="H588" s="6"/>
      <c r="I588" s="12" t="s">
        <v>660</v>
      </c>
      <c r="J588" s="6"/>
      <c r="K588" s="6"/>
      <c r="L588" s="12" t="s">
        <v>882</v>
      </c>
      <c r="M588" s="6"/>
      <c r="N588" s="6"/>
      <c r="O588" s="6"/>
      <c r="P588" s="9"/>
      <c r="Q588" s="9"/>
      <c r="R588" s="9"/>
      <c r="S588" s="9"/>
      <c r="T588" s="9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29">
        <f>15000*7</f>
        <v>105000</v>
      </c>
      <c r="AL588" s="18"/>
      <c r="AM588" s="5"/>
      <c r="AN588" s="5"/>
      <c r="AO588" s="7">
        <f t="shared" si="9"/>
        <v>0</v>
      </c>
    </row>
    <row r="589" spans="1:41" s="8" customFormat="1" ht="39.950000000000003" customHeight="1" x14ac:dyDescent="0.25">
      <c r="A589" s="6"/>
      <c r="B589" s="6"/>
      <c r="C589" s="12" t="s">
        <v>20</v>
      </c>
      <c r="D589" s="12" t="s">
        <v>102</v>
      </c>
      <c r="E589" s="13">
        <v>201152350</v>
      </c>
      <c r="F589" s="14" t="s">
        <v>1046</v>
      </c>
      <c r="G589" s="12" t="s">
        <v>94</v>
      </c>
      <c r="H589" s="6"/>
      <c r="I589" s="12" t="s">
        <v>660</v>
      </c>
      <c r="J589" s="6"/>
      <c r="K589" s="6"/>
      <c r="L589" s="12" t="s">
        <v>880</v>
      </c>
      <c r="M589" s="6"/>
      <c r="N589" s="6"/>
      <c r="O589" s="6"/>
      <c r="P589" s="9"/>
      <c r="Q589" s="9"/>
      <c r="R589" s="9"/>
      <c r="S589" s="9"/>
      <c r="T589" s="9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29">
        <f>72.5*7</f>
        <v>507.5</v>
      </c>
      <c r="AL589" s="18"/>
      <c r="AM589" s="5"/>
      <c r="AN589" s="5"/>
      <c r="AO589" s="7">
        <f t="shared" si="9"/>
        <v>0</v>
      </c>
    </row>
    <row r="590" spans="1:41" s="8" customFormat="1" ht="39.950000000000003" customHeight="1" x14ac:dyDescent="0.25">
      <c r="A590" s="6"/>
      <c r="B590" s="6"/>
      <c r="C590" s="12" t="s">
        <v>20</v>
      </c>
      <c r="D590" s="12" t="s">
        <v>102</v>
      </c>
      <c r="E590" s="13">
        <v>201152501</v>
      </c>
      <c r="F590" s="14" t="s">
        <v>459</v>
      </c>
      <c r="G590" s="12" t="s">
        <v>460</v>
      </c>
      <c r="H590" s="6"/>
      <c r="I590" s="12" t="s">
        <v>684</v>
      </c>
      <c r="J590" s="6"/>
      <c r="K590" s="6"/>
      <c r="L590" s="12"/>
      <c r="M590" s="6"/>
      <c r="N590" s="6"/>
      <c r="O590" s="6"/>
      <c r="P590" s="9"/>
      <c r="Q590" s="9"/>
      <c r="R590" s="9"/>
      <c r="S590" s="9"/>
      <c r="T590" s="9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29">
        <f>1480*7</f>
        <v>10360</v>
      </c>
      <c r="AL590" s="18"/>
      <c r="AM590" s="5"/>
      <c r="AN590" s="5"/>
      <c r="AO590" s="7">
        <f t="shared" si="9"/>
        <v>0</v>
      </c>
    </row>
    <row r="591" spans="1:41" s="8" customFormat="1" ht="39.950000000000003" customHeight="1" x14ac:dyDescent="0.25">
      <c r="A591" s="6"/>
      <c r="B591" s="6"/>
      <c r="C591" s="12" t="s">
        <v>20</v>
      </c>
      <c r="D591" s="12" t="s">
        <v>102</v>
      </c>
      <c r="E591" s="13">
        <v>201152607</v>
      </c>
      <c r="F591" s="14" t="s">
        <v>594</v>
      </c>
      <c r="G591" s="12" t="s">
        <v>253</v>
      </c>
      <c r="H591" s="6"/>
      <c r="I591" s="12" t="s">
        <v>655</v>
      </c>
      <c r="J591" s="6"/>
      <c r="K591" s="6"/>
      <c r="L591" s="12" t="s">
        <v>890</v>
      </c>
      <c r="M591" s="6"/>
      <c r="N591" s="6"/>
      <c r="O591" s="6"/>
      <c r="P591" s="9"/>
      <c r="Q591" s="9"/>
      <c r="R591" s="9"/>
      <c r="S591" s="9"/>
      <c r="T591" s="9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29">
        <f>81.67*7</f>
        <v>571.69000000000005</v>
      </c>
      <c r="AL591" s="18"/>
      <c r="AM591" s="5"/>
      <c r="AN591" s="5"/>
      <c r="AO591" s="7">
        <f t="shared" si="9"/>
        <v>0</v>
      </c>
    </row>
    <row r="592" spans="1:41" s="8" customFormat="1" ht="39.950000000000003" customHeight="1" x14ac:dyDescent="0.25">
      <c r="A592" s="6"/>
      <c r="B592" s="6"/>
      <c r="C592" s="12" t="s">
        <v>20</v>
      </c>
      <c r="D592" s="12" t="s">
        <v>102</v>
      </c>
      <c r="E592" s="13">
        <v>201152915</v>
      </c>
      <c r="F592" s="14" t="s">
        <v>530</v>
      </c>
      <c r="G592" s="12" t="s">
        <v>94</v>
      </c>
      <c r="H592" s="6"/>
      <c r="I592" s="12" t="s">
        <v>94</v>
      </c>
      <c r="J592" s="6"/>
      <c r="K592" s="6"/>
      <c r="L592" s="12" t="s">
        <v>1170</v>
      </c>
      <c r="M592" s="6"/>
      <c r="N592" s="6"/>
      <c r="O592" s="6"/>
      <c r="P592" s="9"/>
      <c r="Q592" s="9"/>
      <c r="R592" s="9"/>
      <c r="S592" s="9"/>
      <c r="T592" s="9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29">
        <f>272*7</f>
        <v>1904</v>
      </c>
      <c r="AL592" s="18"/>
      <c r="AM592" s="5"/>
      <c r="AN592" s="5"/>
      <c r="AO592" s="7">
        <f t="shared" si="9"/>
        <v>0</v>
      </c>
    </row>
    <row r="593" spans="1:41" s="8" customFormat="1" ht="39.950000000000003" customHeight="1" x14ac:dyDescent="0.25">
      <c r="A593" s="6"/>
      <c r="B593" s="6"/>
      <c r="C593" s="12" t="s">
        <v>20</v>
      </c>
      <c r="D593" s="12" t="s">
        <v>102</v>
      </c>
      <c r="E593" s="13">
        <v>201153207</v>
      </c>
      <c r="F593" s="14" t="s">
        <v>407</v>
      </c>
      <c r="G593" s="12" t="s">
        <v>365</v>
      </c>
      <c r="H593" s="6"/>
      <c r="I593" s="12" t="s">
        <v>672</v>
      </c>
      <c r="J593" s="6"/>
      <c r="K593" s="6"/>
      <c r="L593" s="12" t="s">
        <v>843</v>
      </c>
      <c r="M593" s="6"/>
      <c r="N593" s="6"/>
      <c r="O593" s="6"/>
      <c r="P593" s="9"/>
      <c r="Q593" s="9"/>
      <c r="R593" s="9"/>
      <c r="S593" s="9"/>
      <c r="T593" s="9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29">
        <f>330*7</f>
        <v>2310</v>
      </c>
      <c r="AL593" s="18"/>
      <c r="AM593" s="5"/>
      <c r="AN593" s="5"/>
      <c r="AO593" s="7">
        <f t="shared" si="9"/>
        <v>0</v>
      </c>
    </row>
    <row r="594" spans="1:41" s="8" customFormat="1" ht="39.950000000000003" customHeight="1" x14ac:dyDescent="0.25">
      <c r="A594" s="6"/>
      <c r="B594" s="6"/>
      <c r="C594" s="12" t="s">
        <v>20</v>
      </c>
      <c r="D594" s="12" t="s">
        <v>102</v>
      </c>
      <c r="E594" s="13">
        <v>201153404</v>
      </c>
      <c r="F594" s="14" t="s">
        <v>464</v>
      </c>
      <c r="G594" s="12" t="s">
        <v>94</v>
      </c>
      <c r="H594" s="6"/>
      <c r="I594" s="12" t="s">
        <v>674</v>
      </c>
      <c r="J594" s="6"/>
      <c r="K594" s="6"/>
      <c r="L594" s="12"/>
      <c r="M594" s="6"/>
      <c r="N594" s="6"/>
      <c r="O594" s="6"/>
      <c r="P594" s="9"/>
      <c r="Q594" s="9"/>
      <c r="R594" s="9"/>
      <c r="S594" s="9"/>
      <c r="T594" s="9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29">
        <f>3*7</f>
        <v>21</v>
      </c>
      <c r="AL594" s="18"/>
      <c r="AM594" s="5"/>
      <c r="AN594" s="5"/>
      <c r="AO594" s="7">
        <f t="shared" si="9"/>
        <v>0</v>
      </c>
    </row>
    <row r="595" spans="1:41" s="8" customFormat="1" ht="39.950000000000003" customHeight="1" x14ac:dyDescent="0.25">
      <c r="A595" s="15"/>
      <c r="B595" s="15"/>
      <c r="C595" s="12" t="s">
        <v>20</v>
      </c>
      <c r="D595" s="12" t="s">
        <v>102</v>
      </c>
      <c r="E595" s="13">
        <v>201153502</v>
      </c>
      <c r="F595" s="14" t="s">
        <v>100</v>
      </c>
      <c r="G595" s="12" t="s">
        <v>21</v>
      </c>
      <c r="H595" s="15"/>
      <c r="I595" s="12" t="s">
        <v>725</v>
      </c>
      <c r="J595" s="15"/>
      <c r="K595" s="15"/>
      <c r="L595" s="12" t="s">
        <v>925</v>
      </c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29">
        <f>393*7</f>
        <v>2751</v>
      </c>
      <c r="AL595" s="18"/>
      <c r="AM595" s="15"/>
      <c r="AN595" s="15"/>
      <c r="AO595" s="7">
        <f t="shared" si="9"/>
        <v>0</v>
      </c>
    </row>
    <row r="596" spans="1:41" s="8" customFormat="1" ht="39.950000000000003" customHeight="1" x14ac:dyDescent="0.25">
      <c r="A596" s="6"/>
      <c r="B596" s="6"/>
      <c r="C596" s="12" t="s">
        <v>20</v>
      </c>
      <c r="D596" s="12" t="s">
        <v>102</v>
      </c>
      <c r="E596" s="13">
        <v>201153550</v>
      </c>
      <c r="F596" s="14" t="s">
        <v>528</v>
      </c>
      <c r="G596" s="12" t="s">
        <v>94</v>
      </c>
      <c r="H596" s="6"/>
      <c r="I596" s="12" t="s">
        <v>660</v>
      </c>
      <c r="J596" s="6"/>
      <c r="K596" s="6"/>
      <c r="L596" s="12" t="s">
        <v>879</v>
      </c>
      <c r="M596" s="6"/>
      <c r="N596" s="6"/>
      <c r="O596" s="6"/>
      <c r="P596" s="9"/>
      <c r="Q596" s="9"/>
      <c r="R596" s="9"/>
      <c r="S596" s="9"/>
      <c r="T596" s="9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29">
        <f>2800*7</f>
        <v>19600</v>
      </c>
      <c r="AL596" s="18"/>
      <c r="AM596" s="5"/>
      <c r="AN596" s="5"/>
      <c r="AO596" s="7">
        <f t="shared" si="9"/>
        <v>0</v>
      </c>
    </row>
    <row r="597" spans="1:41" s="8" customFormat="1" ht="39.950000000000003" customHeight="1" x14ac:dyDescent="0.25">
      <c r="A597" s="6"/>
      <c r="B597" s="6"/>
      <c r="C597" s="12" t="s">
        <v>20</v>
      </c>
      <c r="D597" s="12" t="s">
        <v>102</v>
      </c>
      <c r="E597" s="13">
        <v>201154111</v>
      </c>
      <c r="F597" s="14" t="s">
        <v>505</v>
      </c>
      <c r="G597" s="12" t="s">
        <v>506</v>
      </c>
      <c r="H597" s="6"/>
      <c r="I597" s="12" t="s">
        <v>444</v>
      </c>
      <c r="J597" s="6"/>
      <c r="K597" s="6"/>
      <c r="L597" s="12" t="s">
        <v>871</v>
      </c>
      <c r="M597" s="6"/>
      <c r="N597" s="6"/>
      <c r="O597" s="6"/>
      <c r="P597" s="9"/>
      <c r="Q597" s="9"/>
      <c r="R597" s="9"/>
      <c r="S597" s="9"/>
      <c r="T597" s="9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29">
        <f>0.33*7</f>
        <v>2.31</v>
      </c>
      <c r="AL597" s="18"/>
      <c r="AM597" s="5"/>
      <c r="AN597" s="5"/>
      <c r="AO597" s="7">
        <f t="shared" si="9"/>
        <v>0</v>
      </c>
    </row>
    <row r="598" spans="1:41" s="8" customFormat="1" ht="39.950000000000003" customHeight="1" x14ac:dyDescent="0.25">
      <c r="A598" s="6"/>
      <c r="B598" s="6"/>
      <c r="C598" s="12" t="s">
        <v>20</v>
      </c>
      <c r="D598" s="12" t="s">
        <v>102</v>
      </c>
      <c r="E598" s="23">
        <v>201154211</v>
      </c>
      <c r="F598" s="24" t="s">
        <v>416</v>
      </c>
      <c r="G598" s="12" t="s">
        <v>312</v>
      </c>
      <c r="H598" s="6"/>
      <c r="I598" s="12" t="s">
        <v>670</v>
      </c>
      <c r="J598" s="6"/>
      <c r="K598" s="6"/>
      <c r="L598" s="12" t="s">
        <v>810</v>
      </c>
      <c r="M598" s="6"/>
      <c r="N598" s="6"/>
      <c r="O598" s="6"/>
      <c r="P598" s="9"/>
      <c r="Q598" s="9"/>
      <c r="R598" s="9"/>
      <c r="S598" s="9"/>
      <c r="T598" s="9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29">
        <f>6811*7</f>
        <v>47677</v>
      </c>
      <c r="AL598" s="18"/>
      <c r="AM598" s="5"/>
      <c r="AN598" s="5"/>
      <c r="AO598" s="7">
        <f t="shared" si="9"/>
        <v>0</v>
      </c>
    </row>
    <row r="599" spans="1:41" s="8" customFormat="1" ht="39.950000000000003" customHeight="1" x14ac:dyDescent="0.25">
      <c r="A599" s="6"/>
      <c r="B599" s="6"/>
      <c r="C599" s="12" t="s">
        <v>20</v>
      </c>
      <c r="D599" s="12" t="s">
        <v>102</v>
      </c>
      <c r="E599" s="13">
        <v>201154310</v>
      </c>
      <c r="F599" s="14" t="s">
        <v>441</v>
      </c>
      <c r="G599" s="12" t="s">
        <v>94</v>
      </c>
      <c r="H599" s="6"/>
      <c r="I599" s="12" t="s">
        <v>682</v>
      </c>
      <c r="J599" s="6"/>
      <c r="K599" s="6"/>
      <c r="L599" s="12" t="s">
        <v>848</v>
      </c>
      <c r="M599" s="6"/>
      <c r="N599" s="6"/>
      <c r="O599" s="6"/>
      <c r="P599" s="9"/>
      <c r="Q599" s="9"/>
      <c r="R599" s="9"/>
      <c r="S599" s="9"/>
      <c r="T599" s="9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29">
        <f>3819*7</f>
        <v>26733</v>
      </c>
      <c r="AL599" s="18"/>
      <c r="AM599" s="5"/>
      <c r="AN599" s="5"/>
      <c r="AO599" s="7">
        <f t="shared" si="9"/>
        <v>0</v>
      </c>
    </row>
    <row r="600" spans="1:41" s="8" customFormat="1" ht="39.950000000000003" customHeight="1" x14ac:dyDescent="0.25">
      <c r="A600" s="6"/>
      <c r="B600" s="6"/>
      <c r="C600" s="12" t="s">
        <v>20</v>
      </c>
      <c r="D600" s="12" t="s">
        <v>102</v>
      </c>
      <c r="E600" s="13">
        <v>201154320</v>
      </c>
      <c r="F600" s="14" t="s">
        <v>531</v>
      </c>
      <c r="G600" s="12" t="s">
        <v>94</v>
      </c>
      <c r="H600" s="6"/>
      <c r="I600" s="12" t="s">
        <v>660</v>
      </c>
      <c r="J600" s="6"/>
      <c r="K600" s="6"/>
      <c r="L600" s="12" t="s">
        <v>879</v>
      </c>
      <c r="M600" s="6"/>
      <c r="N600" s="6"/>
      <c r="O600" s="6"/>
      <c r="P600" s="9"/>
      <c r="Q600" s="9"/>
      <c r="R600" s="9"/>
      <c r="S600" s="9"/>
      <c r="T600" s="9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29">
        <f>4567*7</f>
        <v>31969</v>
      </c>
      <c r="AL600" s="18"/>
      <c r="AM600" s="5"/>
      <c r="AN600" s="5"/>
      <c r="AO600" s="7">
        <f t="shared" si="9"/>
        <v>0</v>
      </c>
    </row>
    <row r="601" spans="1:41" s="8" customFormat="1" ht="39.950000000000003" customHeight="1" x14ac:dyDescent="0.25">
      <c r="A601" s="6"/>
      <c r="B601" s="6"/>
      <c r="C601" s="12" t="s">
        <v>20</v>
      </c>
      <c r="D601" s="12" t="s">
        <v>557</v>
      </c>
      <c r="E601" s="13">
        <v>201154610</v>
      </c>
      <c r="F601" s="14" t="s">
        <v>558</v>
      </c>
      <c r="G601" s="12" t="s">
        <v>94</v>
      </c>
      <c r="H601" s="6"/>
      <c r="I601" s="12" t="s">
        <v>660</v>
      </c>
      <c r="J601" s="6"/>
      <c r="K601" s="6"/>
      <c r="L601" s="12" t="s">
        <v>879</v>
      </c>
      <c r="M601" s="6"/>
      <c r="N601" s="6"/>
      <c r="O601" s="6"/>
      <c r="P601" s="9"/>
      <c r="Q601" s="9"/>
      <c r="R601" s="9"/>
      <c r="S601" s="9"/>
      <c r="T601" s="9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29">
        <f>4870*7</f>
        <v>34090</v>
      </c>
      <c r="AL601" s="18"/>
      <c r="AM601" s="5"/>
      <c r="AN601" s="5"/>
      <c r="AO601" s="7">
        <f t="shared" si="9"/>
        <v>0</v>
      </c>
    </row>
    <row r="602" spans="1:41" s="8" customFormat="1" ht="39.950000000000003" customHeight="1" x14ac:dyDescent="0.25">
      <c r="A602" s="6"/>
      <c r="B602" s="6"/>
      <c r="C602" s="12" t="s">
        <v>20</v>
      </c>
      <c r="D602" s="12" t="s">
        <v>557</v>
      </c>
      <c r="E602" s="13">
        <v>201154611</v>
      </c>
      <c r="F602" s="14" t="s">
        <v>559</v>
      </c>
      <c r="G602" s="12" t="s">
        <v>94</v>
      </c>
      <c r="H602" s="6"/>
      <c r="I602" s="12" t="s">
        <v>660</v>
      </c>
      <c r="J602" s="6"/>
      <c r="K602" s="6"/>
      <c r="L602" s="12" t="s">
        <v>879</v>
      </c>
      <c r="M602" s="6"/>
      <c r="N602" s="6"/>
      <c r="O602" s="6"/>
      <c r="P602" s="9"/>
      <c r="Q602" s="9"/>
      <c r="R602" s="9"/>
      <c r="S602" s="9"/>
      <c r="T602" s="9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29">
        <f>10*7</f>
        <v>70</v>
      </c>
      <c r="AL602" s="18"/>
      <c r="AM602" s="5"/>
      <c r="AN602" s="5"/>
      <c r="AO602" s="7">
        <f t="shared" ref="AO602:AO653" si="10">(AM602*AN602+AM602)*AL602</f>
        <v>0</v>
      </c>
    </row>
    <row r="603" spans="1:41" s="8" customFormat="1" ht="39.950000000000003" customHeight="1" x14ac:dyDescent="0.25">
      <c r="A603" s="6"/>
      <c r="B603" s="6"/>
      <c r="C603" s="12" t="s">
        <v>20</v>
      </c>
      <c r="D603" s="12" t="s">
        <v>102</v>
      </c>
      <c r="E603" s="13">
        <v>201155109</v>
      </c>
      <c r="F603" s="14" t="s">
        <v>1190</v>
      </c>
      <c r="G603" s="12" t="s">
        <v>94</v>
      </c>
      <c r="H603" s="6"/>
      <c r="I603" s="12" t="s">
        <v>660</v>
      </c>
      <c r="J603" s="6"/>
      <c r="K603" s="6"/>
      <c r="L603" s="12"/>
      <c r="M603" s="6"/>
      <c r="N603" s="6"/>
      <c r="O603" s="6"/>
      <c r="P603" s="9"/>
      <c r="Q603" s="9"/>
      <c r="R603" s="9"/>
      <c r="S603" s="9"/>
      <c r="T603" s="9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29">
        <f>10*7</f>
        <v>70</v>
      </c>
      <c r="AL603" s="18"/>
      <c r="AM603" s="5"/>
      <c r="AN603" s="5"/>
      <c r="AO603" s="7">
        <f t="shared" si="10"/>
        <v>0</v>
      </c>
    </row>
    <row r="604" spans="1:41" s="8" customFormat="1" ht="39.950000000000003" customHeight="1" x14ac:dyDescent="0.25">
      <c r="A604" s="6"/>
      <c r="B604" s="6"/>
      <c r="C604" s="12" t="s">
        <v>20</v>
      </c>
      <c r="D604" s="12" t="s">
        <v>102</v>
      </c>
      <c r="E604" s="13">
        <v>201155110</v>
      </c>
      <c r="F604" s="14" t="s">
        <v>411</v>
      </c>
      <c r="G604" s="12" t="s">
        <v>94</v>
      </c>
      <c r="H604" s="6"/>
      <c r="I604" s="12" t="s">
        <v>675</v>
      </c>
      <c r="J604" s="6"/>
      <c r="K604" s="6"/>
      <c r="L604" s="12" t="s">
        <v>840</v>
      </c>
      <c r="M604" s="6"/>
      <c r="N604" s="6"/>
      <c r="O604" s="6"/>
      <c r="P604" s="9"/>
      <c r="Q604" s="9"/>
      <c r="R604" s="9"/>
      <c r="S604" s="9"/>
      <c r="T604" s="9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29">
        <f>1042*7</f>
        <v>7294</v>
      </c>
      <c r="AL604" s="18"/>
      <c r="AM604" s="5"/>
      <c r="AN604" s="5"/>
      <c r="AO604" s="7">
        <f t="shared" si="10"/>
        <v>0</v>
      </c>
    </row>
    <row r="605" spans="1:41" s="8" customFormat="1" ht="39.950000000000003" customHeight="1" x14ac:dyDescent="0.25">
      <c r="A605" s="6"/>
      <c r="B605" s="6"/>
      <c r="C605" s="12" t="s">
        <v>20</v>
      </c>
      <c r="D605" s="12" t="s">
        <v>102</v>
      </c>
      <c r="E605" s="13">
        <v>201155160</v>
      </c>
      <c r="F605" s="14" t="s">
        <v>1171</v>
      </c>
      <c r="G605" s="12" t="s">
        <v>94</v>
      </c>
      <c r="H605" s="6"/>
      <c r="I605" s="12" t="s">
        <v>660</v>
      </c>
      <c r="J605" s="6"/>
      <c r="K605" s="6"/>
      <c r="L605" s="12"/>
      <c r="M605" s="6"/>
      <c r="N605" s="6"/>
      <c r="O605" s="6"/>
      <c r="P605" s="9"/>
      <c r="Q605" s="9"/>
      <c r="R605" s="9"/>
      <c r="S605" s="9"/>
      <c r="T605" s="9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29">
        <f>1*7</f>
        <v>7</v>
      </c>
      <c r="AL605" s="18"/>
      <c r="AM605" s="5"/>
      <c r="AN605" s="5"/>
      <c r="AO605" s="7">
        <f t="shared" si="10"/>
        <v>0</v>
      </c>
    </row>
    <row r="606" spans="1:41" s="8" customFormat="1" ht="39.950000000000003" customHeight="1" x14ac:dyDescent="0.25">
      <c r="A606" s="6"/>
      <c r="B606" s="6"/>
      <c r="C606" s="12" t="s">
        <v>20</v>
      </c>
      <c r="D606" s="12" t="s">
        <v>102</v>
      </c>
      <c r="E606" s="13">
        <v>201155161</v>
      </c>
      <c r="F606" s="14" t="s">
        <v>1172</v>
      </c>
      <c r="G606" s="12" t="s">
        <v>94</v>
      </c>
      <c r="H606" s="6"/>
      <c r="I606" s="12" t="s">
        <v>660</v>
      </c>
      <c r="J606" s="6"/>
      <c r="K606" s="6"/>
      <c r="L606" s="12"/>
      <c r="M606" s="6"/>
      <c r="N606" s="6"/>
      <c r="O606" s="6"/>
      <c r="P606" s="9"/>
      <c r="Q606" s="9"/>
      <c r="R606" s="9"/>
      <c r="S606" s="9"/>
      <c r="T606" s="9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29">
        <f>1*7</f>
        <v>7</v>
      </c>
      <c r="AL606" s="18"/>
      <c r="AM606" s="5"/>
      <c r="AN606" s="5"/>
      <c r="AO606" s="7">
        <f t="shared" si="10"/>
        <v>0</v>
      </c>
    </row>
    <row r="607" spans="1:41" s="8" customFormat="1" ht="39.950000000000003" customHeight="1" x14ac:dyDescent="0.25">
      <c r="A607" s="6"/>
      <c r="B607" s="6"/>
      <c r="C607" s="12" t="s">
        <v>20</v>
      </c>
      <c r="D607" s="12" t="s">
        <v>102</v>
      </c>
      <c r="E607" s="13">
        <v>201155181</v>
      </c>
      <c r="F607" s="14" t="s">
        <v>1173</v>
      </c>
      <c r="G607" s="12" t="s">
        <v>94</v>
      </c>
      <c r="H607" s="6"/>
      <c r="I607" s="12" t="s">
        <v>660</v>
      </c>
      <c r="J607" s="6"/>
      <c r="K607" s="6"/>
      <c r="L607" s="12"/>
      <c r="M607" s="6"/>
      <c r="N607" s="6"/>
      <c r="O607" s="6"/>
      <c r="P607" s="9"/>
      <c r="Q607" s="9"/>
      <c r="R607" s="9"/>
      <c r="S607" s="9"/>
      <c r="T607" s="9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29">
        <f>2*7</f>
        <v>14</v>
      </c>
      <c r="AL607" s="18"/>
      <c r="AM607" s="5"/>
      <c r="AN607" s="5"/>
      <c r="AO607" s="7">
        <f t="shared" si="10"/>
        <v>0</v>
      </c>
    </row>
    <row r="608" spans="1:41" s="8" customFormat="1" ht="39.950000000000003" customHeight="1" x14ac:dyDescent="0.25">
      <c r="A608" s="6"/>
      <c r="B608" s="6"/>
      <c r="C608" s="12" t="s">
        <v>20</v>
      </c>
      <c r="D608" s="12" t="s">
        <v>102</v>
      </c>
      <c r="E608" s="13">
        <v>201155182</v>
      </c>
      <c r="F608" s="14" t="s">
        <v>1175</v>
      </c>
      <c r="G608" s="12" t="s">
        <v>94</v>
      </c>
      <c r="H608" s="6"/>
      <c r="I608" s="12" t="s">
        <v>660</v>
      </c>
      <c r="J608" s="6"/>
      <c r="K608" s="6"/>
      <c r="L608" s="12"/>
      <c r="M608" s="6"/>
      <c r="N608" s="6"/>
      <c r="O608" s="6"/>
      <c r="P608" s="9"/>
      <c r="Q608" s="9"/>
      <c r="R608" s="9"/>
      <c r="S608" s="9"/>
      <c r="T608" s="9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29">
        <f>2*7</f>
        <v>14</v>
      </c>
      <c r="AL608" s="18"/>
      <c r="AM608" s="5"/>
      <c r="AN608" s="5"/>
      <c r="AO608" s="7">
        <f t="shared" si="10"/>
        <v>0</v>
      </c>
    </row>
    <row r="609" spans="1:41" s="8" customFormat="1" ht="39.950000000000003" customHeight="1" x14ac:dyDescent="0.25">
      <c r="A609" s="6"/>
      <c r="B609" s="6"/>
      <c r="C609" s="12" t="s">
        <v>20</v>
      </c>
      <c r="D609" s="12" t="s">
        <v>102</v>
      </c>
      <c r="E609" s="13">
        <v>201155184</v>
      </c>
      <c r="F609" s="14" t="s">
        <v>1174</v>
      </c>
      <c r="G609" s="12" t="s">
        <v>94</v>
      </c>
      <c r="H609" s="6"/>
      <c r="I609" s="12" t="s">
        <v>660</v>
      </c>
      <c r="J609" s="6"/>
      <c r="K609" s="6"/>
      <c r="L609" s="12"/>
      <c r="M609" s="6"/>
      <c r="N609" s="6"/>
      <c r="O609" s="6"/>
      <c r="P609" s="9"/>
      <c r="Q609" s="9"/>
      <c r="R609" s="9"/>
      <c r="S609" s="9"/>
      <c r="T609" s="9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29">
        <f>1*7</f>
        <v>7</v>
      </c>
      <c r="AL609" s="18"/>
      <c r="AM609" s="5"/>
      <c r="AN609" s="5"/>
      <c r="AO609" s="7">
        <f t="shared" si="10"/>
        <v>0</v>
      </c>
    </row>
    <row r="610" spans="1:41" s="8" customFormat="1" ht="39.950000000000003" customHeight="1" x14ac:dyDescent="0.25">
      <c r="A610" s="6"/>
      <c r="B610" s="6"/>
      <c r="C610" s="12" t="s">
        <v>20</v>
      </c>
      <c r="D610" s="12" t="s">
        <v>102</v>
      </c>
      <c r="E610" s="13">
        <v>201155201</v>
      </c>
      <c r="F610" s="14" t="s">
        <v>1036</v>
      </c>
      <c r="G610" s="12" t="s">
        <v>460</v>
      </c>
      <c r="H610" s="6"/>
      <c r="I610" s="12"/>
      <c r="J610" s="6"/>
      <c r="K610" s="6"/>
      <c r="L610" s="12"/>
      <c r="M610" s="6"/>
      <c r="N610" s="6"/>
      <c r="O610" s="6"/>
      <c r="P610" s="9"/>
      <c r="Q610" s="9"/>
      <c r="R610" s="9"/>
      <c r="S610" s="9"/>
      <c r="T610" s="9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29">
        <f>0.67*7</f>
        <v>4.6900000000000004</v>
      </c>
      <c r="AL610" s="18"/>
      <c r="AM610" s="5"/>
      <c r="AN610" s="5"/>
      <c r="AO610" s="7">
        <f t="shared" si="10"/>
        <v>0</v>
      </c>
    </row>
    <row r="611" spans="1:41" s="8" customFormat="1" ht="39.950000000000003" customHeight="1" x14ac:dyDescent="0.25">
      <c r="A611" s="6"/>
      <c r="B611" s="6"/>
      <c r="C611" s="12" t="s">
        <v>20</v>
      </c>
      <c r="D611" s="12" t="s">
        <v>102</v>
      </c>
      <c r="E611" s="13">
        <v>201155506</v>
      </c>
      <c r="F611" s="14" t="s">
        <v>1037</v>
      </c>
      <c r="G611" s="12" t="s">
        <v>1038</v>
      </c>
      <c r="H611" s="6"/>
      <c r="I611" s="12"/>
      <c r="J611" s="6"/>
      <c r="K611" s="6"/>
      <c r="L611" s="12"/>
      <c r="M611" s="6"/>
      <c r="N611" s="6"/>
      <c r="O611" s="6"/>
      <c r="P611" s="9"/>
      <c r="Q611" s="9"/>
      <c r="R611" s="9"/>
      <c r="S611" s="9"/>
      <c r="T611" s="9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29">
        <f>17*7</f>
        <v>119</v>
      </c>
      <c r="AL611" s="18"/>
      <c r="AM611" s="5"/>
      <c r="AN611" s="5"/>
      <c r="AO611" s="7">
        <f t="shared" si="10"/>
        <v>0</v>
      </c>
    </row>
    <row r="612" spans="1:41" s="8" customFormat="1" ht="39.950000000000003" customHeight="1" x14ac:dyDescent="0.25">
      <c r="A612" s="6"/>
      <c r="B612" s="6"/>
      <c r="C612" s="12" t="s">
        <v>20</v>
      </c>
      <c r="D612" s="12" t="s">
        <v>102</v>
      </c>
      <c r="E612" s="13">
        <v>201156250</v>
      </c>
      <c r="F612" s="14" t="s">
        <v>412</v>
      </c>
      <c r="G612" s="12" t="s">
        <v>94</v>
      </c>
      <c r="H612" s="6"/>
      <c r="I612" s="12" t="s">
        <v>674</v>
      </c>
      <c r="J612" s="6"/>
      <c r="K612" s="6"/>
      <c r="L612" s="12" t="s">
        <v>842</v>
      </c>
      <c r="M612" s="6"/>
      <c r="N612" s="6"/>
      <c r="O612" s="6"/>
      <c r="P612" s="9"/>
      <c r="Q612" s="9"/>
      <c r="R612" s="9"/>
      <c r="S612" s="9"/>
      <c r="T612" s="9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29">
        <f>5*7</f>
        <v>35</v>
      </c>
      <c r="AL612" s="18"/>
      <c r="AM612" s="5"/>
      <c r="AN612" s="5"/>
      <c r="AO612" s="7">
        <f t="shared" si="10"/>
        <v>0</v>
      </c>
    </row>
    <row r="613" spans="1:41" s="8" customFormat="1" ht="39.950000000000003" customHeight="1" x14ac:dyDescent="0.25">
      <c r="A613" s="6"/>
      <c r="B613" s="6"/>
      <c r="C613" s="12" t="s">
        <v>20</v>
      </c>
      <c r="D613" s="12" t="s">
        <v>102</v>
      </c>
      <c r="E613" s="13">
        <v>201156510</v>
      </c>
      <c r="F613" s="14" t="s">
        <v>566</v>
      </c>
      <c r="G613" s="12" t="s">
        <v>567</v>
      </c>
      <c r="H613" s="6"/>
      <c r="I613" s="12" t="s">
        <v>1176</v>
      </c>
      <c r="J613" s="6"/>
      <c r="K613" s="6"/>
      <c r="L613" s="12" t="s">
        <v>879</v>
      </c>
      <c r="M613" s="6"/>
      <c r="N613" s="6"/>
      <c r="O613" s="6"/>
      <c r="P613" s="9"/>
      <c r="Q613" s="9"/>
      <c r="R613" s="9"/>
      <c r="S613" s="9"/>
      <c r="T613" s="9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29">
        <f>6*7</f>
        <v>42</v>
      </c>
      <c r="AL613" s="18"/>
      <c r="AM613" s="5"/>
      <c r="AN613" s="5"/>
      <c r="AO613" s="7">
        <f t="shared" si="10"/>
        <v>0</v>
      </c>
    </row>
    <row r="614" spans="1:41" s="8" customFormat="1" ht="39.950000000000003" customHeight="1" x14ac:dyDescent="0.25">
      <c r="A614" s="6"/>
      <c r="B614" s="6"/>
      <c r="C614" s="12" t="s">
        <v>20</v>
      </c>
      <c r="D614" s="12" t="s">
        <v>102</v>
      </c>
      <c r="E614" s="13">
        <v>201156610</v>
      </c>
      <c r="F614" s="14" t="s">
        <v>568</v>
      </c>
      <c r="G614" s="12" t="s">
        <v>94</v>
      </c>
      <c r="H614" s="6"/>
      <c r="I614" s="12" t="s">
        <v>660</v>
      </c>
      <c r="J614" s="6"/>
      <c r="K614" s="6"/>
      <c r="L614" s="12" t="s">
        <v>879</v>
      </c>
      <c r="M614" s="6"/>
      <c r="N614" s="6"/>
      <c r="O614" s="6"/>
      <c r="P614" s="9"/>
      <c r="Q614" s="9"/>
      <c r="R614" s="9"/>
      <c r="S614" s="9"/>
      <c r="T614" s="9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29">
        <f>3.25*7</f>
        <v>22.75</v>
      </c>
      <c r="AL614" s="18"/>
      <c r="AM614" s="5"/>
      <c r="AN614" s="5"/>
      <c r="AO614" s="7">
        <f t="shared" si="10"/>
        <v>0</v>
      </c>
    </row>
    <row r="615" spans="1:41" s="8" customFormat="1" ht="39.950000000000003" customHeight="1" x14ac:dyDescent="0.25">
      <c r="A615" s="6"/>
      <c r="B615" s="6"/>
      <c r="C615" s="12" t="s">
        <v>20</v>
      </c>
      <c r="D615" s="12" t="s">
        <v>102</v>
      </c>
      <c r="E615" s="13">
        <v>201157050</v>
      </c>
      <c r="F615" s="14" t="s">
        <v>532</v>
      </c>
      <c r="G615" s="12" t="s">
        <v>94</v>
      </c>
      <c r="H615" s="6"/>
      <c r="I615" s="12" t="s">
        <v>94</v>
      </c>
      <c r="J615" s="6"/>
      <c r="K615" s="6"/>
      <c r="L615" s="12" t="s">
        <v>879</v>
      </c>
      <c r="M615" s="6"/>
      <c r="N615" s="6"/>
      <c r="O615" s="6"/>
      <c r="P615" s="9"/>
      <c r="Q615" s="9"/>
      <c r="R615" s="9"/>
      <c r="S615" s="9"/>
      <c r="T615" s="9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29">
        <f>339*7</f>
        <v>2373</v>
      </c>
      <c r="AL615" s="18"/>
      <c r="AM615" s="5"/>
      <c r="AN615" s="5"/>
      <c r="AO615" s="7">
        <f t="shared" si="10"/>
        <v>0</v>
      </c>
    </row>
    <row r="616" spans="1:41" s="8" customFormat="1" ht="39.950000000000003" customHeight="1" x14ac:dyDescent="0.25">
      <c r="A616" s="6"/>
      <c r="B616" s="6"/>
      <c r="C616" s="12" t="s">
        <v>20</v>
      </c>
      <c r="D616" s="12" t="s">
        <v>102</v>
      </c>
      <c r="E616" s="13">
        <v>201157410</v>
      </c>
      <c r="F616" s="14" t="s">
        <v>446</v>
      </c>
      <c r="G616" s="12" t="s">
        <v>94</v>
      </c>
      <c r="H616" s="6"/>
      <c r="I616" s="12" t="s">
        <v>674</v>
      </c>
      <c r="J616" s="6"/>
      <c r="K616" s="6"/>
      <c r="L616" s="12" t="s">
        <v>851</v>
      </c>
      <c r="M616" s="6"/>
      <c r="N616" s="6"/>
      <c r="O616" s="6"/>
      <c r="P616" s="9"/>
      <c r="Q616" s="9"/>
      <c r="R616" s="9"/>
      <c r="S616" s="9"/>
      <c r="T616" s="9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29">
        <f>294*7</f>
        <v>2058</v>
      </c>
      <c r="AL616" s="18"/>
      <c r="AM616" s="5"/>
      <c r="AN616" s="5"/>
      <c r="AO616" s="7">
        <f t="shared" si="10"/>
        <v>0</v>
      </c>
    </row>
    <row r="617" spans="1:41" s="8" customFormat="1" ht="39.950000000000003" customHeight="1" x14ac:dyDescent="0.25">
      <c r="A617" s="6"/>
      <c r="B617" s="6"/>
      <c r="C617" s="12" t="s">
        <v>20</v>
      </c>
      <c r="D617" s="12" t="s">
        <v>102</v>
      </c>
      <c r="E617" s="13">
        <v>201157506</v>
      </c>
      <c r="F617" s="14" t="s">
        <v>988</v>
      </c>
      <c r="G617" s="12" t="s">
        <v>1000</v>
      </c>
      <c r="H617" s="6"/>
      <c r="I617" s="12"/>
      <c r="J617" s="6"/>
      <c r="K617" s="6"/>
      <c r="L617" s="12" t="s">
        <v>1177</v>
      </c>
      <c r="M617" s="6"/>
      <c r="N617" s="6"/>
      <c r="O617" s="6"/>
      <c r="P617" s="9"/>
      <c r="Q617" s="9"/>
      <c r="R617" s="9"/>
      <c r="S617" s="9"/>
      <c r="T617" s="9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29">
        <f>4.25*7</f>
        <v>29.75</v>
      </c>
      <c r="AL617" s="18"/>
      <c r="AM617" s="5"/>
      <c r="AN617" s="5"/>
      <c r="AO617" s="7">
        <f t="shared" si="10"/>
        <v>0</v>
      </c>
    </row>
    <row r="618" spans="1:41" s="8" customFormat="1" ht="39.950000000000003" customHeight="1" x14ac:dyDescent="0.25">
      <c r="A618" s="6"/>
      <c r="B618" s="6"/>
      <c r="C618" s="12" t="s">
        <v>20</v>
      </c>
      <c r="D618" s="12" t="s">
        <v>102</v>
      </c>
      <c r="E618" s="13">
        <v>201157551</v>
      </c>
      <c r="F618" s="14" t="s">
        <v>521</v>
      </c>
      <c r="G618" s="12" t="s">
        <v>522</v>
      </c>
      <c r="H618" s="6"/>
      <c r="I618" s="12" t="s">
        <v>690</v>
      </c>
      <c r="J618" s="6"/>
      <c r="K618" s="6"/>
      <c r="L618" s="12" t="s">
        <v>875</v>
      </c>
      <c r="M618" s="6"/>
      <c r="N618" s="6"/>
      <c r="O618" s="6"/>
      <c r="P618" s="9"/>
      <c r="Q618" s="9"/>
      <c r="R618" s="9"/>
      <c r="S618" s="9"/>
      <c r="T618" s="9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29" t="s">
        <v>1198</v>
      </c>
      <c r="AL618" s="18"/>
      <c r="AM618" s="5"/>
      <c r="AN618" s="5"/>
      <c r="AO618" s="7">
        <f t="shared" si="10"/>
        <v>0</v>
      </c>
    </row>
    <row r="619" spans="1:41" s="8" customFormat="1" ht="39.950000000000003" customHeight="1" x14ac:dyDescent="0.25">
      <c r="A619" s="6"/>
      <c r="B619" s="6"/>
      <c r="C619" s="12" t="s">
        <v>20</v>
      </c>
      <c r="D619" s="12" t="s">
        <v>102</v>
      </c>
      <c r="E619" s="13">
        <v>201157610</v>
      </c>
      <c r="F619" s="14" t="s">
        <v>527</v>
      </c>
      <c r="G619" s="12" t="s">
        <v>253</v>
      </c>
      <c r="H619" s="6"/>
      <c r="I619" s="12" t="s">
        <v>692</v>
      </c>
      <c r="J619" s="6"/>
      <c r="K619" s="6"/>
      <c r="L619" s="12" t="s">
        <v>878</v>
      </c>
      <c r="M619" s="6"/>
      <c r="N619" s="6"/>
      <c r="O619" s="6"/>
      <c r="P619" s="9"/>
      <c r="Q619" s="9"/>
      <c r="R619" s="9"/>
      <c r="S619" s="9"/>
      <c r="T619" s="9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29">
        <f>8.25*7</f>
        <v>57.75</v>
      </c>
      <c r="AL619" s="18"/>
      <c r="AM619" s="5"/>
      <c r="AN619" s="5"/>
      <c r="AO619" s="7">
        <f t="shared" si="10"/>
        <v>0</v>
      </c>
    </row>
    <row r="620" spans="1:41" s="8" customFormat="1" ht="39.950000000000003" customHeight="1" x14ac:dyDescent="0.25">
      <c r="A620" s="6"/>
      <c r="B620" s="6"/>
      <c r="C620" s="12" t="s">
        <v>20</v>
      </c>
      <c r="D620" s="12" t="s">
        <v>102</v>
      </c>
      <c r="E620" s="13">
        <v>201157705</v>
      </c>
      <c r="F620" s="14" t="s">
        <v>1039</v>
      </c>
      <c r="G620" s="12" t="s">
        <v>1040</v>
      </c>
      <c r="H620" s="6"/>
      <c r="I620" s="12"/>
      <c r="J620" s="6"/>
      <c r="K620" s="6"/>
      <c r="L620" s="12"/>
      <c r="M620" s="6"/>
      <c r="N620" s="6"/>
      <c r="O620" s="6"/>
      <c r="P620" s="9"/>
      <c r="Q620" s="9"/>
      <c r="R620" s="9"/>
      <c r="S620" s="9"/>
      <c r="T620" s="9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29">
        <f>90.5*7</f>
        <v>633.5</v>
      </c>
      <c r="AL620" s="18"/>
      <c r="AM620" s="5"/>
      <c r="AN620" s="5"/>
      <c r="AO620" s="7">
        <f t="shared" si="10"/>
        <v>0</v>
      </c>
    </row>
    <row r="621" spans="1:41" s="8" customFormat="1" ht="39.950000000000003" customHeight="1" x14ac:dyDescent="0.25">
      <c r="A621" s="6"/>
      <c r="B621" s="6"/>
      <c r="C621" s="12" t="s">
        <v>20</v>
      </c>
      <c r="D621" s="12" t="s">
        <v>102</v>
      </c>
      <c r="E621" s="13">
        <v>201157910</v>
      </c>
      <c r="F621" s="14" t="s">
        <v>580</v>
      </c>
      <c r="G621" s="12" t="s">
        <v>94</v>
      </c>
      <c r="H621" s="6"/>
      <c r="I621" s="12" t="s">
        <v>700</v>
      </c>
      <c r="J621" s="6"/>
      <c r="K621" s="6"/>
      <c r="L621" s="12" t="s">
        <v>880</v>
      </c>
      <c r="M621" s="6"/>
      <c r="N621" s="6"/>
      <c r="O621" s="6"/>
      <c r="P621" s="9"/>
      <c r="Q621" s="9"/>
      <c r="R621" s="9"/>
      <c r="S621" s="9"/>
      <c r="T621" s="9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29">
        <f>181*7</f>
        <v>1267</v>
      </c>
      <c r="AL621" s="18"/>
      <c r="AM621" s="5"/>
      <c r="AN621" s="5"/>
      <c r="AO621" s="7">
        <f t="shared" si="10"/>
        <v>0</v>
      </c>
    </row>
    <row r="622" spans="1:41" s="8" customFormat="1" ht="39.950000000000003" customHeight="1" x14ac:dyDescent="0.25">
      <c r="A622" s="6"/>
      <c r="B622" s="6"/>
      <c r="C622" s="12" t="s">
        <v>20</v>
      </c>
      <c r="D622" s="12" t="s">
        <v>102</v>
      </c>
      <c r="E622" s="13">
        <v>201158202</v>
      </c>
      <c r="F622" s="14" t="s">
        <v>575</v>
      </c>
      <c r="G622" s="12" t="s">
        <v>21</v>
      </c>
      <c r="H622" s="6"/>
      <c r="I622" s="12" t="s">
        <v>698</v>
      </c>
      <c r="J622" s="6"/>
      <c r="K622" s="6"/>
      <c r="L622" s="12" t="s">
        <v>887</v>
      </c>
      <c r="M622" s="6"/>
      <c r="N622" s="6"/>
      <c r="O622" s="6"/>
      <c r="P622" s="9"/>
      <c r="Q622" s="9"/>
      <c r="R622" s="9"/>
      <c r="S622" s="9"/>
      <c r="T622" s="9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29">
        <f>15.5*7</f>
        <v>108.5</v>
      </c>
      <c r="AL622" s="18"/>
      <c r="AM622" s="5"/>
      <c r="AN622" s="5"/>
      <c r="AO622" s="7">
        <f t="shared" si="10"/>
        <v>0</v>
      </c>
    </row>
    <row r="623" spans="1:41" s="8" customFormat="1" ht="39.950000000000003" customHeight="1" x14ac:dyDescent="0.25">
      <c r="A623" s="6"/>
      <c r="B623" s="6"/>
      <c r="C623" s="12" t="s">
        <v>20</v>
      </c>
      <c r="D623" s="12" t="s">
        <v>102</v>
      </c>
      <c r="E623" s="13">
        <v>201159010</v>
      </c>
      <c r="F623" s="14" t="s">
        <v>564</v>
      </c>
      <c r="G623" s="12" t="s">
        <v>94</v>
      </c>
      <c r="H623" s="6"/>
      <c r="I623" s="12" t="s">
        <v>660</v>
      </c>
      <c r="J623" s="6"/>
      <c r="K623" s="6"/>
      <c r="L623" s="12" t="s">
        <v>879</v>
      </c>
      <c r="M623" s="6"/>
      <c r="N623" s="6"/>
      <c r="O623" s="6"/>
      <c r="P623" s="9"/>
      <c r="Q623" s="9"/>
      <c r="R623" s="9"/>
      <c r="S623" s="9"/>
      <c r="T623" s="9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29">
        <f>316*7</f>
        <v>2212</v>
      </c>
      <c r="AL623" s="18"/>
      <c r="AM623" s="5"/>
      <c r="AN623" s="5"/>
      <c r="AO623" s="7">
        <f t="shared" si="10"/>
        <v>0</v>
      </c>
    </row>
    <row r="624" spans="1:41" s="8" customFormat="1" ht="39.950000000000003" customHeight="1" x14ac:dyDescent="0.25">
      <c r="A624" s="6"/>
      <c r="B624" s="6"/>
      <c r="C624" s="12" t="s">
        <v>20</v>
      </c>
      <c r="D624" s="12" t="s">
        <v>102</v>
      </c>
      <c r="E624" s="13">
        <v>201159500</v>
      </c>
      <c r="F624" s="14" t="s">
        <v>413</v>
      </c>
      <c r="G624" s="12" t="s">
        <v>94</v>
      </c>
      <c r="H624" s="6"/>
      <c r="I624" s="12" t="s">
        <v>674</v>
      </c>
      <c r="J624" s="6"/>
      <c r="K624" s="6"/>
      <c r="L624" s="12" t="s">
        <v>844</v>
      </c>
      <c r="M624" s="6"/>
      <c r="N624" s="6"/>
      <c r="O624" s="6"/>
      <c r="P624" s="9"/>
      <c r="Q624" s="9"/>
      <c r="R624" s="9"/>
      <c r="S624" s="9"/>
      <c r="T624" s="9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29">
        <f>137*7</f>
        <v>959</v>
      </c>
      <c r="AL624" s="18"/>
      <c r="AM624" s="5"/>
      <c r="AN624" s="5"/>
      <c r="AO624" s="7">
        <f t="shared" si="10"/>
        <v>0</v>
      </c>
    </row>
    <row r="625" spans="1:41" s="8" customFormat="1" ht="39.950000000000003" customHeight="1" x14ac:dyDescent="0.25">
      <c r="A625" s="6"/>
      <c r="B625" s="6"/>
      <c r="C625" s="12" t="s">
        <v>20</v>
      </c>
      <c r="D625" s="12" t="s">
        <v>102</v>
      </c>
      <c r="E625" s="13">
        <v>201159504</v>
      </c>
      <c r="F625" s="14" t="s">
        <v>1178</v>
      </c>
      <c r="G625" s="12" t="s">
        <v>94</v>
      </c>
      <c r="H625" s="6"/>
      <c r="I625" s="12" t="s">
        <v>660</v>
      </c>
      <c r="J625" s="6"/>
      <c r="K625" s="6"/>
      <c r="L625" s="12"/>
      <c r="M625" s="6"/>
      <c r="N625" s="6"/>
      <c r="O625" s="6"/>
      <c r="P625" s="9"/>
      <c r="Q625" s="9"/>
      <c r="R625" s="9"/>
      <c r="S625" s="9"/>
      <c r="T625" s="9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29">
        <f>3*7</f>
        <v>21</v>
      </c>
      <c r="AL625" s="18"/>
      <c r="AM625" s="5"/>
      <c r="AN625" s="5"/>
      <c r="AO625" s="7">
        <f t="shared" si="10"/>
        <v>0</v>
      </c>
    </row>
    <row r="626" spans="1:41" s="8" customFormat="1" ht="39.950000000000003" customHeight="1" x14ac:dyDescent="0.25">
      <c r="A626" s="6"/>
      <c r="B626" s="6"/>
      <c r="C626" s="12" t="s">
        <v>20</v>
      </c>
      <c r="D626" s="12" t="s">
        <v>102</v>
      </c>
      <c r="E626" s="23">
        <v>201160108</v>
      </c>
      <c r="F626" s="24" t="s">
        <v>1047</v>
      </c>
      <c r="G626" s="12" t="s">
        <v>94</v>
      </c>
      <c r="H626" s="6"/>
      <c r="I626" s="12" t="s">
        <v>674</v>
      </c>
      <c r="J626" s="6"/>
      <c r="K626" s="6"/>
      <c r="L626" s="12" t="s">
        <v>844</v>
      </c>
      <c r="M626" s="6"/>
      <c r="N626" s="6"/>
      <c r="O626" s="6"/>
      <c r="P626" s="9"/>
      <c r="Q626" s="9"/>
      <c r="R626" s="9"/>
      <c r="S626" s="9"/>
      <c r="T626" s="9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29">
        <f>20*7</f>
        <v>140</v>
      </c>
      <c r="AL626" s="18"/>
      <c r="AM626" s="5"/>
      <c r="AN626" s="5"/>
      <c r="AO626" s="7">
        <f t="shared" si="10"/>
        <v>0</v>
      </c>
    </row>
    <row r="627" spans="1:41" s="8" customFormat="1" ht="39.950000000000003" customHeight="1" x14ac:dyDescent="0.25">
      <c r="A627" s="6"/>
      <c r="B627" s="6"/>
      <c r="C627" s="12" t="s">
        <v>20</v>
      </c>
      <c r="D627" s="12" t="s">
        <v>102</v>
      </c>
      <c r="E627" s="13">
        <v>201160109</v>
      </c>
      <c r="F627" s="14" t="s">
        <v>408</v>
      </c>
      <c r="G627" s="12" t="s">
        <v>94</v>
      </c>
      <c r="H627" s="6"/>
      <c r="I627" s="12" t="s">
        <v>673</v>
      </c>
      <c r="J627" s="6"/>
      <c r="K627" s="6"/>
      <c r="L627" s="12" t="s">
        <v>841</v>
      </c>
      <c r="M627" s="6"/>
      <c r="N627" s="6"/>
      <c r="O627" s="6"/>
      <c r="P627" s="9"/>
      <c r="Q627" s="9"/>
      <c r="R627" s="9"/>
      <c r="S627" s="9"/>
      <c r="T627" s="9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29">
        <f>34*7</f>
        <v>238</v>
      </c>
      <c r="AL627" s="18"/>
      <c r="AM627" s="5"/>
      <c r="AN627" s="5"/>
      <c r="AO627" s="7">
        <f t="shared" si="10"/>
        <v>0</v>
      </c>
    </row>
    <row r="628" spans="1:41" s="8" customFormat="1" ht="39.950000000000003" customHeight="1" x14ac:dyDescent="0.25">
      <c r="A628" s="6"/>
      <c r="B628" s="6"/>
      <c r="C628" s="12" t="s">
        <v>20</v>
      </c>
      <c r="D628" s="12" t="s">
        <v>102</v>
      </c>
      <c r="E628" s="24">
        <v>201160110</v>
      </c>
      <c r="F628" s="24" t="s">
        <v>1179</v>
      </c>
      <c r="G628" s="12" t="s">
        <v>94</v>
      </c>
      <c r="H628" s="6"/>
      <c r="I628" s="12" t="s">
        <v>674</v>
      </c>
      <c r="J628" s="6"/>
      <c r="K628" s="6"/>
      <c r="L628" s="12"/>
      <c r="M628" s="6"/>
      <c r="N628" s="6"/>
      <c r="O628" s="6"/>
      <c r="P628" s="9"/>
      <c r="Q628" s="9"/>
      <c r="R628" s="9"/>
      <c r="S628" s="9"/>
      <c r="T628" s="9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29">
        <f>25*7</f>
        <v>175</v>
      </c>
      <c r="AL628" s="18"/>
      <c r="AM628" s="5"/>
      <c r="AN628" s="5"/>
      <c r="AO628" s="7">
        <f t="shared" si="10"/>
        <v>0</v>
      </c>
    </row>
    <row r="629" spans="1:41" s="8" customFormat="1" ht="39.950000000000003" customHeight="1" x14ac:dyDescent="0.25">
      <c r="A629" s="15"/>
      <c r="B629" s="15"/>
      <c r="C629" s="12" t="s">
        <v>20</v>
      </c>
      <c r="D629" s="12" t="s">
        <v>102</v>
      </c>
      <c r="E629" s="23">
        <v>201160115</v>
      </c>
      <c r="F629" s="24" t="s">
        <v>112</v>
      </c>
      <c r="G629" s="12" t="s">
        <v>94</v>
      </c>
      <c r="H629" s="15"/>
      <c r="I629" s="12" t="s">
        <v>713</v>
      </c>
      <c r="J629" s="15"/>
      <c r="K629" s="15"/>
      <c r="L629" s="12" t="s">
        <v>926</v>
      </c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29">
        <f>59*7</f>
        <v>413</v>
      </c>
      <c r="AL629" s="18"/>
      <c r="AM629" s="15"/>
      <c r="AN629" s="15"/>
      <c r="AO629" s="7">
        <f t="shared" si="10"/>
        <v>0</v>
      </c>
    </row>
    <row r="630" spans="1:41" s="8" customFormat="1" ht="39.950000000000003" customHeight="1" x14ac:dyDescent="0.25">
      <c r="A630" s="6"/>
      <c r="B630" s="6"/>
      <c r="C630" s="12" t="s">
        <v>20</v>
      </c>
      <c r="D630" s="12" t="s">
        <v>102</v>
      </c>
      <c r="E630" s="23">
        <v>201160210</v>
      </c>
      <c r="F630" s="24" t="s">
        <v>415</v>
      </c>
      <c r="G630" s="12" t="s">
        <v>94</v>
      </c>
      <c r="H630" s="6"/>
      <c r="I630" s="12" t="s">
        <v>676</v>
      </c>
      <c r="J630" s="6"/>
      <c r="K630" s="6"/>
      <c r="L630" s="12" t="s">
        <v>841</v>
      </c>
      <c r="M630" s="6"/>
      <c r="N630" s="6"/>
      <c r="O630" s="6"/>
      <c r="P630" s="9"/>
      <c r="Q630" s="9"/>
      <c r="R630" s="9"/>
      <c r="S630" s="9"/>
      <c r="T630" s="9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29">
        <f>5*7</f>
        <v>35</v>
      </c>
      <c r="AL630" s="18"/>
      <c r="AM630" s="5"/>
      <c r="AN630" s="5"/>
      <c r="AO630" s="7">
        <f t="shared" si="10"/>
        <v>0</v>
      </c>
    </row>
    <row r="631" spans="1:41" s="8" customFormat="1" ht="39.950000000000003" customHeight="1" x14ac:dyDescent="0.25">
      <c r="A631" s="6"/>
      <c r="B631" s="6"/>
      <c r="C631" s="12" t="s">
        <v>20</v>
      </c>
      <c r="D631" s="12" t="s">
        <v>102</v>
      </c>
      <c r="E631" s="23">
        <v>201160211</v>
      </c>
      <c r="F631" s="24" t="s">
        <v>1180</v>
      </c>
      <c r="G631" s="12" t="s">
        <v>94</v>
      </c>
      <c r="H631" s="6"/>
      <c r="I631" s="12" t="s">
        <v>94</v>
      </c>
      <c r="J631" s="6"/>
      <c r="K631" s="6"/>
      <c r="L631" s="12"/>
      <c r="M631" s="6"/>
      <c r="N631" s="6"/>
      <c r="O631" s="6"/>
      <c r="P631" s="9"/>
      <c r="Q631" s="9"/>
      <c r="R631" s="9"/>
      <c r="S631" s="9"/>
      <c r="T631" s="9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29">
        <f>4.5*7</f>
        <v>31.5</v>
      </c>
      <c r="AL631" s="18"/>
      <c r="AM631" s="5"/>
      <c r="AN631" s="5"/>
      <c r="AO631" s="7">
        <f t="shared" si="10"/>
        <v>0</v>
      </c>
    </row>
    <row r="632" spans="1:41" s="8" customFormat="1" ht="39.950000000000003" customHeight="1" x14ac:dyDescent="0.25">
      <c r="A632" s="6"/>
      <c r="B632" s="6"/>
      <c r="C632" s="12" t="s">
        <v>20</v>
      </c>
      <c r="D632" s="12" t="s">
        <v>102</v>
      </c>
      <c r="E632" s="23">
        <v>201160215</v>
      </c>
      <c r="F632" s="24" t="s">
        <v>1181</v>
      </c>
      <c r="G632" s="12" t="s">
        <v>94</v>
      </c>
      <c r="H632" s="6"/>
      <c r="I632" s="12" t="s">
        <v>94</v>
      </c>
      <c r="J632" s="6"/>
      <c r="K632" s="6"/>
      <c r="L632" s="12"/>
      <c r="M632" s="6"/>
      <c r="N632" s="6"/>
      <c r="O632" s="6"/>
      <c r="P632" s="9"/>
      <c r="Q632" s="9"/>
      <c r="R632" s="9"/>
      <c r="S632" s="9"/>
      <c r="T632" s="9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29">
        <f>71*7</f>
        <v>497</v>
      </c>
      <c r="AL632" s="18"/>
      <c r="AM632" s="5"/>
      <c r="AN632" s="5"/>
      <c r="AO632" s="7">
        <f t="shared" si="10"/>
        <v>0</v>
      </c>
    </row>
    <row r="633" spans="1:41" s="8" customFormat="1" ht="39.950000000000003" customHeight="1" x14ac:dyDescent="0.25">
      <c r="A633" s="6"/>
      <c r="B633" s="6"/>
      <c r="C633" s="12" t="s">
        <v>20</v>
      </c>
      <c r="D633" s="12" t="s">
        <v>102</v>
      </c>
      <c r="E633" s="23">
        <v>201160310</v>
      </c>
      <c r="F633" s="24" t="s">
        <v>443</v>
      </c>
      <c r="G633" s="12" t="s">
        <v>94</v>
      </c>
      <c r="H633" s="6"/>
      <c r="I633" s="12" t="s">
        <v>676</v>
      </c>
      <c r="J633" s="6"/>
      <c r="K633" s="6"/>
      <c r="L633" s="12" t="s">
        <v>841</v>
      </c>
      <c r="M633" s="6"/>
      <c r="N633" s="6"/>
      <c r="O633" s="6"/>
      <c r="P633" s="9"/>
      <c r="Q633" s="9"/>
      <c r="R633" s="9"/>
      <c r="S633" s="9"/>
      <c r="T633" s="9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29">
        <f>3*7</f>
        <v>21</v>
      </c>
      <c r="AL633" s="18"/>
      <c r="AM633" s="5"/>
      <c r="AN633" s="5"/>
      <c r="AO633" s="7">
        <f t="shared" si="10"/>
        <v>0</v>
      </c>
    </row>
    <row r="634" spans="1:41" s="8" customFormat="1" ht="39.950000000000003" customHeight="1" x14ac:dyDescent="0.25">
      <c r="A634" s="6"/>
      <c r="B634" s="6"/>
      <c r="C634" s="12" t="s">
        <v>20</v>
      </c>
      <c r="D634" s="12" t="s">
        <v>102</v>
      </c>
      <c r="E634" s="23">
        <v>201160350</v>
      </c>
      <c r="F634" s="24" t="s">
        <v>1182</v>
      </c>
      <c r="G634" s="12" t="s">
        <v>94</v>
      </c>
      <c r="H634" s="6"/>
      <c r="I634" s="12" t="s">
        <v>94</v>
      </c>
      <c r="J634" s="6"/>
      <c r="K634" s="6"/>
      <c r="L634" s="12" t="s">
        <v>841</v>
      </c>
      <c r="M634" s="6"/>
      <c r="N634" s="6"/>
      <c r="O634" s="6"/>
      <c r="P634" s="9"/>
      <c r="Q634" s="9"/>
      <c r="R634" s="9"/>
      <c r="S634" s="9"/>
      <c r="T634" s="9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29">
        <f>1.5*7</f>
        <v>10.5</v>
      </c>
      <c r="AL634" s="18"/>
      <c r="AM634" s="5"/>
      <c r="AN634" s="5"/>
      <c r="AO634" s="7">
        <f t="shared" si="10"/>
        <v>0</v>
      </c>
    </row>
    <row r="635" spans="1:41" s="8" customFormat="1" ht="39.950000000000003" customHeight="1" x14ac:dyDescent="0.25">
      <c r="A635" s="6"/>
      <c r="B635" s="6"/>
      <c r="C635" s="12" t="s">
        <v>20</v>
      </c>
      <c r="D635" s="12" t="s">
        <v>102</v>
      </c>
      <c r="E635" s="23">
        <v>201160351</v>
      </c>
      <c r="F635" s="24" t="s">
        <v>1183</v>
      </c>
      <c r="G635" s="12" t="s">
        <v>94</v>
      </c>
      <c r="H635" s="6"/>
      <c r="I635" s="12" t="s">
        <v>94</v>
      </c>
      <c r="J635" s="6"/>
      <c r="K635" s="6"/>
      <c r="L635" s="12"/>
      <c r="M635" s="6"/>
      <c r="N635" s="6"/>
      <c r="O635" s="6"/>
      <c r="P635" s="9"/>
      <c r="Q635" s="9"/>
      <c r="R635" s="9"/>
      <c r="S635" s="9"/>
      <c r="T635" s="9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29">
        <f>1.5*7</f>
        <v>10.5</v>
      </c>
      <c r="AL635" s="18"/>
      <c r="AM635" s="5"/>
      <c r="AN635" s="5"/>
      <c r="AO635" s="7">
        <f t="shared" si="10"/>
        <v>0</v>
      </c>
    </row>
    <row r="636" spans="1:41" s="8" customFormat="1" ht="39.950000000000003" customHeight="1" x14ac:dyDescent="0.25">
      <c r="A636" s="6"/>
      <c r="B636" s="6"/>
      <c r="C636" s="12" t="s">
        <v>20</v>
      </c>
      <c r="D636" s="12" t="s">
        <v>102</v>
      </c>
      <c r="E636" s="23">
        <v>201160352</v>
      </c>
      <c r="F636" s="24" t="s">
        <v>1184</v>
      </c>
      <c r="G636" s="12" t="s">
        <v>94</v>
      </c>
      <c r="H636" s="6"/>
      <c r="I636" s="12" t="s">
        <v>94</v>
      </c>
      <c r="J636" s="6"/>
      <c r="K636" s="6"/>
      <c r="L636" s="12"/>
      <c r="M636" s="6"/>
      <c r="N636" s="6"/>
      <c r="O636" s="6"/>
      <c r="P636" s="9"/>
      <c r="Q636" s="9"/>
      <c r="R636" s="9"/>
      <c r="S636" s="9"/>
      <c r="T636" s="9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29">
        <f>1.5*7</f>
        <v>10.5</v>
      </c>
      <c r="AL636" s="18"/>
      <c r="AM636" s="5"/>
      <c r="AN636" s="5"/>
      <c r="AO636" s="7">
        <f t="shared" si="10"/>
        <v>0</v>
      </c>
    </row>
    <row r="637" spans="1:41" s="8" customFormat="1" ht="39.950000000000003" customHeight="1" x14ac:dyDescent="0.25">
      <c r="A637" s="6"/>
      <c r="B637" s="6"/>
      <c r="C637" s="12" t="s">
        <v>20</v>
      </c>
      <c r="D637" s="12" t="s">
        <v>102</v>
      </c>
      <c r="E637" s="23">
        <v>201160353</v>
      </c>
      <c r="F637" s="24" t="s">
        <v>1185</v>
      </c>
      <c r="G637" s="12" t="s">
        <v>94</v>
      </c>
      <c r="H637" s="6"/>
      <c r="I637" s="12" t="s">
        <v>94</v>
      </c>
      <c r="J637" s="6"/>
      <c r="K637" s="6"/>
      <c r="L637" s="12"/>
      <c r="M637" s="6"/>
      <c r="N637" s="6"/>
      <c r="O637" s="6"/>
      <c r="P637" s="9"/>
      <c r="Q637" s="9"/>
      <c r="R637" s="9"/>
      <c r="S637" s="9"/>
      <c r="T637" s="9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29">
        <f>1.5*7</f>
        <v>10.5</v>
      </c>
      <c r="AL637" s="18"/>
      <c r="AM637" s="5"/>
      <c r="AN637" s="5"/>
      <c r="AO637" s="7">
        <f t="shared" si="10"/>
        <v>0</v>
      </c>
    </row>
    <row r="638" spans="1:41" s="8" customFormat="1" ht="39.950000000000003" customHeight="1" x14ac:dyDescent="0.25">
      <c r="A638" s="6"/>
      <c r="B638" s="6"/>
      <c r="C638" s="12" t="s">
        <v>20</v>
      </c>
      <c r="D638" s="12" t="s">
        <v>102</v>
      </c>
      <c r="E638" s="23">
        <v>201160620</v>
      </c>
      <c r="F638" s="24" t="s">
        <v>1186</v>
      </c>
      <c r="G638" s="12" t="s">
        <v>94</v>
      </c>
      <c r="H638" s="6"/>
      <c r="I638" s="12" t="s">
        <v>94</v>
      </c>
      <c r="J638" s="6"/>
      <c r="K638" s="6"/>
      <c r="L638" s="12"/>
      <c r="M638" s="6"/>
      <c r="N638" s="6"/>
      <c r="O638" s="6"/>
      <c r="P638" s="9"/>
      <c r="Q638" s="9"/>
      <c r="R638" s="9"/>
      <c r="S638" s="9"/>
      <c r="T638" s="9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29">
        <f>1.5*7</f>
        <v>10.5</v>
      </c>
      <c r="AL638" s="18"/>
      <c r="AM638" s="5"/>
      <c r="AN638" s="5"/>
      <c r="AO638" s="7">
        <f t="shared" si="10"/>
        <v>0</v>
      </c>
    </row>
    <row r="639" spans="1:41" s="8" customFormat="1" ht="39.950000000000003" customHeight="1" x14ac:dyDescent="0.25">
      <c r="A639" s="6"/>
      <c r="B639" s="6"/>
      <c r="C639" s="12" t="s">
        <v>20</v>
      </c>
      <c r="D639" s="12" t="s">
        <v>102</v>
      </c>
      <c r="E639" s="23">
        <v>201161510</v>
      </c>
      <c r="F639" s="24" t="s">
        <v>1187</v>
      </c>
      <c r="G639" s="12" t="s">
        <v>94</v>
      </c>
      <c r="H639" s="6"/>
      <c r="I639" s="12" t="s">
        <v>94</v>
      </c>
      <c r="J639" s="6"/>
      <c r="K639" s="6"/>
      <c r="L639" s="12"/>
      <c r="M639" s="6"/>
      <c r="N639" s="6"/>
      <c r="O639" s="6"/>
      <c r="P639" s="9"/>
      <c r="Q639" s="9"/>
      <c r="R639" s="9"/>
      <c r="S639" s="9"/>
      <c r="T639" s="9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29">
        <f>36*7</f>
        <v>252</v>
      </c>
      <c r="AL639" s="18"/>
      <c r="AM639" s="5"/>
      <c r="AN639" s="5"/>
      <c r="AO639" s="7">
        <f t="shared" si="10"/>
        <v>0</v>
      </c>
    </row>
    <row r="640" spans="1:41" ht="39.950000000000003" customHeight="1" x14ac:dyDescent="0.25">
      <c r="A640" s="6"/>
      <c r="B640" s="6"/>
      <c r="C640" s="12" t="s">
        <v>20</v>
      </c>
      <c r="D640" s="12" t="s">
        <v>102</v>
      </c>
      <c r="E640" s="23">
        <v>201161809</v>
      </c>
      <c r="F640" s="24" t="s">
        <v>570</v>
      </c>
      <c r="G640" s="12" t="s">
        <v>94</v>
      </c>
      <c r="H640" s="6"/>
      <c r="I640" s="12" t="s">
        <v>660</v>
      </c>
      <c r="J640" s="6"/>
      <c r="K640" s="6"/>
      <c r="L640" s="12" t="s">
        <v>883</v>
      </c>
      <c r="M640" s="6"/>
      <c r="N640" s="6"/>
      <c r="O640" s="6"/>
      <c r="P640" s="9"/>
      <c r="Q640" s="9"/>
      <c r="R640" s="9"/>
      <c r="S640" s="9"/>
      <c r="T640" s="9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29">
        <f>40.33*7</f>
        <v>282.31</v>
      </c>
      <c r="AL640" s="18"/>
      <c r="AM640" s="5"/>
      <c r="AN640" s="5"/>
      <c r="AO640" s="7">
        <f t="shared" si="10"/>
        <v>0</v>
      </c>
    </row>
    <row r="641" spans="1:41" ht="39.950000000000003" customHeight="1" x14ac:dyDescent="0.25">
      <c r="A641" s="6"/>
      <c r="B641" s="6"/>
      <c r="C641" s="12" t="s">
        <v>20</v>
      </c>
      <c r="D641" s="12" t="s">
        <v>102</v>
      </c>
      <c r="E641" s="13">
        <v>201161901</v>
      </c>
      <c r="F641" s="14" t="s">
        <v>414</v>
      </c>
      <c r="G641" s="12" t="s">
        <v>94</v>
      </c>
      <c r="H641" s="6"/>
      <c r="I641" s="12" t="s">
        <v>675</v>
      </c>
      <c r="J641" s="6"/>
      <c r="K641" s="6"/>
      <c r="L641" s="12" t="s">
        <v>840</v>
      </c>
      <c r="M641" s="6"/>
      <c r="N641" s="6"/>
      <c r="O641" s="6"/>
      <c r="P641" s="9"/>
      <c r="Q641" s="9"/>
      <c r="R641" s="9"/>
      <c r="S641" s="9"/>
      <c r="T641" s="9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29">
        <f>108.69</f>
        <v>108.69</v>
      </c>
      <c r="AL641" s="18"/>
      <c r="AM641" s="5"/>
      <c r="AN641" s="5"/>
      <c r="AO641" s="7">
        <f t="shared" si="10"/>
        <v>0</v>
      </c>
    </row>
    <row r="642" spans="1:41" ht="39.950000000000003" customHeight="1" x14ac:dyDescent="0.25">
      <c r="A642" s="6"/>
      <c r="B642" s="6"/>
      <c r="C642" s="12" t="s">
        <v>20</v>
      </c>
      <c r="D642" s="12" t="s">
        <v>102</v>
      </c>
      <c r="E642" s="13">
        <v>201181001</v>
      </c>
      <c r="F642" s="14" t="s">
        <v>509</v>
      </c>
      <c r="G642" s="12" t="s">
        <v>94</v>
      </c>
      <c r="H642" s="6"/>
      <c r="I642" s="12" t="s">
        <v>444</v>
      </c>
      <c r="J642" s="6"/>
      <c r="K642" s="6"/>
      <c r="L642" s="12" t="s">
        <v>871</v>
      </c>
      <c r="M642" s="6"/>
      <c r="N642" s="6"/>
      <c r="O642" s="6"/>
      <c r="P642" s="9"/>
      <c r="Q642" s="9"/>
      <c r="R642" s="9"/>
      <c r="S642" s="9"/>
      <c r="T642" s="9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29">
        <f>6*7</f>
        <v>42</v>
      </c>
      <c r="AL642" s="18"/>
      <c r="AM642" s="5"/>
      <c r="AN642" s="5"/>
      <c r="AO642" s="7">
        <f t="shared" si="10"/>
        <v>0</v>
      </c>
    </row>
    <row r="643" spans="1:41" ht="39.950000000000003" customHeight="1" x14ac:dyDescent="0.25">
      <c r="A643" s="6"/>
      <c r="B643" s="6"/>
      <c r="C643" s="12" t="s">
        <v>20</v>
      </c>
      <c r="D643" s="12" t="s">
        <v>102</v>
      </c>
      <c r="E643" s="13">
        <v>202102202</v>
      </c>
      <c r="F643" s="14" t="s">
        <v>409</v>
      </c>
      <c r="G643" s="12" t="s">
        <v>94</v>
      </c>
      <c r="H643" s="6"/>
      <c r="I643" s="12" t="s">
        <v>671</v>
      </c>
      <c r="J643" s="6"/>
      <c r="K643" s="6"/>
      <c r="L643" s="12" t="s">
        <v>842</v>
      </c>
      <c r="M643" s="6"/>
      <c r="N643" s="6"/>
      <c r="O643" s="6"/>
      <c r="P643" s="9"/>
      <c r="Q643" s="9"/>
      <c r="R643" s="9"/>
      <c r="S643" s="9"/>
      <c r="T643" s="9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29">
        <f>12*7</f>
        <v>84</v>
      </c>
      <c r="AL643" s="18"/>
      <c r="AM643" s="5"/>
      <c r="AN643" s="5"/>
      <c r="AO643" s="7">
        <f t="shared" si="10"/>
        <v>0</v>
      </c>
    </row>
    <row r="644" spans="1:41" ht="39.950000000000003" customHeight="1" x14ac:dyDescent="0.25">
      <c r="A644" s="6"/>
      <c r="B644" s="6"/>
      <c r="C644" s="12" t="s">
        <v>20</v>
      </c>
      <c r="D644" s="12" t="s">
        <v>102</v>
      </c>
      <c r="E644" s="13">
        <v>202102207</v>
      </c>
      <c r="F644" s="14" t="s">
        <v>406</v>
      </c>
      <c r="G644" s="12" t="s">
        <v>94</v>
      </c>
      <c r="H644" s="6"/>
      <c r="I644" s="12" t="s">
        <v>671</v>
      </c>
      <c r="J644" s="6"/>
      <c r="K644" s="6"/>
      <c r="L644" s="12" t="s">
        <v>842</v>
      </c>
      <c r="M644" s="6"/>
      <c r="N644" s="6"/>
      <c r="O644" s="6"/>
      <c r="P644" s="9"/>
      <c r="Q644" s="9"/>
      <c r="R644" s="9"/>
      <c r="S644" s="9"/>
      <c r="T644" s="9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29">
        <f>43*7</f>
        <v>301</v>
      </c>
      <c r="AL644" s="18"/>
      <c r="AM644" s="5"/>
      <c r="AN644" s="5"/>
      <c r="AO644" s="7">
        <f t="shared" si="10"/>
        <v>0</v>
      </c>
    </row>
    <row r="645" spans="1:41" ht="39.950000000000003" customHeight="1" x14ac:dyDescent="0.25">
      <c r="A645" s="6"/>
      <c r="B645" s="6"/>
      <c r="C645" s="12" t="s">
        <v>20</v>
      </c>
      <c r="D645" s="12" t="s">
        <v>102</v>
      </c>
      <c r="E645" s="13">
        <v>204040610</v>
      </c>
      <c r="F645" s="14" t="s">
        <v>512</v>
      </c>
      <c r="G645" s="12" t="s">
        <v>94</v>
      </c>
      <c r="H645" s="6"/>
      <c r="I645" s="12" t="s">
        <v>658</v>
      </c>
      <c r="J645" s="6"/>
      <c r="K645" s="6"/>
      <c r="L645" s="12" t="s">
        <v>872</v>
      </c>
      <c r="M645" s="6"/>
      <c r="N645" s="6"/>
      <c r="O645" s="6"/>
      <c r="P645" s="9"/>
      <c r="Q645" s="9"/>
      <c r="R645" s="9"/>
      <c r="S645" s="9"/>
      <c r="T645" s="9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29">
        <f>58*7</f>
        <v>406</v>
      </c>
      <c r="AL645" s="18"/>
      <c r="AM645" s="5"/>
      <c r="AN645" s="5"/>
      <c r="AO645" s="7">
        <f t="shared" si="10"/>
        <v>0</v>
      </c>
    </row>
    <row r="646" spans="1:41" ht="39.950000000000003" customHeight="1" x14ac:dyDescent="0.25">
      <c r="A646" s="6"/>
      <c r="B646" s="6"/>
      <c r="C646" s="12" t="s">
        <v>20</v>
      </c>
      <c r="D646" s="12" t="s">
        <v>582</v>
      </c>
      <c r="E646" s="13">
        <v>206010810</v>
      </c>
      <c r="F646" s="14" t="s">
        <v>1195</v>
      </c>
      <c r="G646" s="12" t="s">
        <v>94</v>
      </c>
      <c r="H646" s="6"/>
      <c r="I646" s="12" t="s">
        <v>660</v>
      </c>
      <c r="J646" s="6"/>
      <c r="K646" s="6"/>
      <c r="L646" s="12" t="s">
        <v>880</v>
      </c>
      <c r="M646" s="6"/>
      <c r="N646" s="6"/>
      <c r="O646" s="6"/>
      <c r="P646" s="9"/>
      <c r="Q646" s="9"/>
      <c r="R646" s="9"/>
      <c r="S646" s="9"/>
      <c r="T646" s="9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29">
        <f>3*7</f>
        <v>21</v>
      </c>
      <c r="AL646" s="18"/>
      <c r="AM646" s="5"/>
      <c r="AN646" s="5"/>
      <c r="AO646" s="7">
        <f t="shared" si="10"/>
        <v>0</v>
      </c>
    </row>
    <row r="647" spans="1:41" ht="39.950000000000003" customHeight="1" x14ac:dyDescent="0.25">
      <c r="A647" s="6"/>
      <c r="B647" s="6"/>
      <c r="C647" s="12" t="s">
        <v>20</v>
      </c>
      <c r="D647" s="12" t="s">
        <v>582</v>
      </c>
      <c r="E647" s="13">
        <v>206010910</v>
      </c>
      <c r="F647" s="14" t="s">
        <v>1194</v>
      </c>
      <c r="G647" s="12" t="s">
        <v>94</v>
      </c>
      <c r="H647" s="6"/>
      <c r="I647" s="12" t="s">
        <v>660</v>
      </c>
      <c r="J647" s="6"/>
      <c r="K647" s="6"/>
      <c r="L647" s="12" t="s">
        <v>880</v>
      </c>
      <c r="M647" s="6"/>
      <c r="N647" s="6"/>
      <c r="O647" s="6"/>
      <c r="P647" s="9"/>
      <c r="Q647" s="9"/>
      <c r="R647" s="9"/>
      <c r="S647" s="9"/>
      <c r="T647" s="9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29">
        <f>22*7</f>
        <v>154</v>
      </c>
      <c r="AL647" s="18"/>
      <c r="AM647" s="5"/>
      <c r="AN647" s="5"/>
      <c r="AO647" s="7">
        <f t="shared" si="10"/>
        <v>0</v>
      </c>
    </row>
    <row r="648" spans="1:41" ht="39.950000000000003" customHeight="1" x14ac:dyDescent="0.25">
      <c r="A648" s="6"/>
      <c r="B648" s="6"/>
      <c r="C648" s="12" t="s">
        <v>20</v>
      </c>
      <c r="D648" s="12" t="s">
        <v>582</v>
      </c>
      <c r="E648" s="13">
        <v>206010809</v>
      </c>
      <c r="F648" s="14" t="s">
        <v>1192</v>
      </c>
      <c r="G648" s="12" t="s">
        <v>94</v>
      </c>
      <c r="H648" s="6"/>
      <c r="I648" s="12" t="s">
        <v>660</v>
      </c>
      <c r="J648" s="6"/>
      <c r="K648" s="6"/>
      <c r="L648" s="12" t="s">
        <v>880</v>
      </c>
      <c r="M648" s="6"/>
      <c r="N648" s="6"/>
      <c r="O648" s="6"/>
      <c r="P648" s="9"/>
      <c r="Q648" s="9"/>
      <c r="R648" s="9"/>
      <c r="S648" s="9"/>
      <c r="T648" s="9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29">
        <f>2*7</f>
        <v>14</v>
      </c>
      <c r="AL648" s="18"/>
      <c r="AM648" s="5"/>
      <c r="AN648" s="5"/>
      <c r="AO648" s="7">
        <f t="shared" si="10"/>
        <v>0</v>
      </c>
    </row>
    <row r="649" spans="1:41" ht="39.950000000000003" customHeight="1" x14ac:dyDescent="0.25">
      <c r="A649" s="6"/>
      <c r="B649" s="6"/>
      <c r="C649" s="12" t="s">
        <v>20</v>
      </c>
      <c r="D649" s="12" t="s">
        <v>102</v>
      </c>
      <c r="E649" s="13">
        <v>206040926</v>
      </c>
      <c r="F649" s="14" t="s">
        <v>989</v>
      </c>
      <c r="G649" s="12" t="s">
        <v>94</v>
      </c>
      <c r="H649" s="6"/>
      <c r="I649" s="12" t="s">
        <v>660</v>
      </c>
      <c r="J649" s="6"/>
      <c r="K649" s="6"/>
      <c r="L649" s="12"/>
      <c r="M649" s="6"/>
      <c r="N649" s="6"/>
      <c r="O649" s="6"/>
      <c r="P649" s="9"/>
      <c r="Q649" s="9"/>
      <c r="R649" s="9"/>
      <c r="S649" s="9"/>
      <c r="T649" s="9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29">
        <f>17.33*7</f>
        <v>121.30999999999999</v>
      </c>
      <c r="AL649" s="18"/>
      <c r="AM649" s="5"/>
      <c r="AN649" s="5"/>
      <c r="AO649" s="7">
        <f t="shared" si="10"/>
        <v>0</v>
      </c>
    </row>
    <row r="650" spans="1:41" ht="39.950000000000003" customHeight="1" x14ac:dyDescent="0.25">
      <c r="A650" s="6"/>
      <c r="B650" s="6"/>
      <c r="C650" s="12" t="s">
        <v>20</v>
      </c>
      <c r="D650" s="12" t="s">
        <v>102</v>
      </c>
      <c r="E650" s="13">
        <v>206040951</v>
      </c>
      <c r="F650" s="14" t="s">
        <v>990</v>
      </c>
      <c r="G650" s="12" t="s">
        <v>94</v>
      </c>
      <c r="H650" s="6"/>
      <c r="I650" s="12" t="s">
        <v>660</v>
      </c>
      <c r="J650" s="6"/>
      <c r="K650" s="6"/>
      <c r="L650" s="12"/>
      <c r="M650" s="6"/>
      <c r="N650" s="6"/>
      <c r="O650" s="6"/>
      <c r="P650" s="9"/>
      <c r="Q650" s="9"/>
      <c r="R650" s="9"/>
      <c r="S650" s="9"/>
      <c r="T650" s="9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29">
        <f>2*7</f>
        <v>14</v>
      </c>
      <c r="AL650" s="18"/>
      <c r="AM650" s="5"/>
      <c r="AN650" s="5"/>
      <c r="AO650" s="7">
        <f t="shared" si="10"/>
        <v>0</v>
      </c>
    </row>
    <row r="651" spans="1:41" ht="39.950000000000003" customHeight="1" x14ac:dyDescent="0.25">
      <c r="A651" s="6"/>
      <c r="B651" s="6"/>
      <c r="C651" s="12" t="s">
        <v>20</v>
      </c>
      <c r="D651" s="12" t="s">
        <v>102</v>
      </c>
      <c r="E651" s="13">
        <v>206040952</v>
      </c>
      <c r="F651" s="14" t="s">
        <v>1191</v>
      </c>
      <c r="G651" s="12" t="s">
        <v>94</v>
      </c>
      <c r="H651" s="6"/>
      <c r="I651" s="12" t="s">
        <v>660</v>
      </c>
      <c r="J651" s="6"/>
      <c r="K651" s="6"/>
      <c r="L651" s="12"/>
      <c r="M651" s="6"/>
      <c r="N651" s="6"/>
      <c r="O651" s="6"/>
      <c r="P651" s="9"/>
      <c r="Q651" s="9"/>
      <c r="R651" s="9"/>
      <c r="S651" s="9"/>
      <c r="T651" s="9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29">
        <f>3*7</f>
        <v>21</v>
      </c>
      <c r="AL651" s="18"/>
      <c r="AM651" s="5"/>
      <c r="AN651" s="5"/>
      <c r="AO651" s="7">
        <f t="shared" si="10"/>
        <v>0</v>
      </c>
    </row>
    <row r="652" spans="1:41" ht="39.950000000000003" customHeight="1" x14ac:dyDescent="0.25">
      <c r="A652" s="6"/>
      <c r="B652" s="6"/>
      <c r="C652" s="12" t="s">
        <v>20</v>
      </c>
      <c r="D652" s="12" t="s">
        <v>102</v>
      </c>
      <c r="E652" s="13">
        <v>206060310</v>
      </c>
      <c r="F652" s="14" t="s">
        <v>533</v>
      </c>
      <c r="G652" s="12" t="s">
        <v>94</v>
      </c>
      <c r="H652" s="6"/>
      <c r="I652" s="12" t="s">
        <v>693</v>
      </c>
      <c r="J652" s="6"/>
      <c r="K652" s="6"/>
      <c r="L652" s="12" t="s">
        <v>879</v>
      </c>
      <c r="M652" s="6"/>
      <c r="N652" s="6"/>
      <c r="O652" s="6"/>
      <c r="P652" s="9"/>
      <c r="Q652" s="9"/>
      <c r="R652" s="9"/>
      <c r="S652" s="9"/>
      <c r="T652" s="9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29">
        <f>72*7</f>
        <v>504</v>
      </c>
      <c r="AL652" s="18"/>
      <c r="AM652" s="5"/>
      <c r="AN652" s="5"/>
      <c r="AO652" s="7">
        <f t="shared" si="10"/>
        <v>0</v>
      </c>
    </row>
    <row r="653" spans="1:41" ht="39.950000000000003" customHeight="1" x14ac:dyDescent="0.25">
      <c r="A653" s="6"/>
      <c r="B653" s="6"/>
      <c r="C653" s="12" t="s">
        <v>20</v>
      </c>
      <c r="D653" s="12" t="s">
        <v>102</v>
      </c>
      <c r="E653" s="13">
        <v>206060701</v>
      </c>
      <c r="F653" s="14" t="s">
        <v>579</v>
      </c>
      <c r="G653" s="12" t="s">
        <v>94</v>
      </c>
      <c r="H653" s="6"/>
      <c r="I653" s="12" t="s">
        <v>699</v>
      </c>
      <c r="J653" s="6"/>
      <c r="K653" s="6"/>
      <c r="L653" s="12" t="s">
        <v>886</v>
      </c>
      <c r="M653" s="6"/>
      <c r="N653" s="6"/>
      <c r="O653" s="6"/>
      <c r="P653" s="9"/>
      <c r="Q653" s="9"/>
      <c r="R653" s="9"/>
      <c r="S653" s="9"/>
      <c r="T653" s="9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29">
        <f>93*7</f>
        <v>651</v>
      </c>
      <c r="AL653" s="18"/>
      <c r="AM653" s="5"/>
      <c r="AN653" s="5"/>
      <c r="AO653" s="7">
        <f t="shared" si="10"/>
        <v>0</v>
      </c>
    </row>
    <row r="658" spans="1:6" ht="15.75" thickBot="1" x14ac:dyDescent="0.3"/>
    <row r="659" spans="1:6" ht="22.5" customHeight="1" thickBot="1" x14ac:dyDescent="0.3">
      <c r="A659" s="33" t="s">
        <v>16</v>
      </c>
      <c r="B659" s="34"/>
      <c r="C659" s="34"/>
      <c r="D659" s="35"/>
      <c r="E659" s="16"/>
      <c r="F659" s="31">
        <f>SUM(AO7:AO653)</f>
        <v>0</v>
      </c>
    </row>
    <row r="660" spans="1:6" x14ac:dyDescent="0.25">
      <c r="A660" s="2"/>
      <c r="B660" s="2"/>
    </row>
    <row r="661" spans="1:6" x14ac:dyDescent="0.25">
      <c r="A661" s="2"/>
      <c r="B661" s="2"/>
    </row>
    <row r="662" spans="1:6" x14ac:dyDescent="0.25">
      <c r="A662" s="2"/>
      <c r="B662" s="2"/>
    </row>
    <row r="663" spans="1:6" x14ac:dyDescent="0.25">
      <c r="A663" s="2"/>
      <c r="B663" s="2"/>
    </row>
    <row r="664" spans="1:6" x14ac:dyDescent="0.25">
      <c r="A664" s="2"/>
      <c r="B664" s="2"/>
    </row>
    <row r="665" spans="1:6" ht="15.75" thickBot="1" x14ac:dyDescent="0.3">
      <c r="A665" s="3"/>
      <c r="B665" s="3"/>
    </row>
    <row r="666" spans="1:6" x14ac:dyDescent="0.25">
      <c r="A666" s="2"/>
      <c r="B666" s="2" t="s">
        <v>17</v>
      </c>
    </row>
    <row r="670" spans="1:6" ht="15.75" thickBot="1" x14ac:dyDescent="0.3">
      <c r="A670" s="4"/>
      <c r="B670" s="4"/>
    </row>
    <row r="671" spans="1:6" x14ac:dyDescent="0.25">
      <c r="A671" s="32" t="s">
        <v>18</v>
      </c>
      <c r="B671" s="32"/>
    </row>
  </sheetData>
  <autoFilter ref="A6:AO6" xr:uid="{00000000-0009-0000-0000-000000000000}"/>
  <sortState ref="A6:AN561">
    <sortCondition ref="E6:E561"/>
  </sortState>
  <mergeCells count="6">
    <mergeCell ref="A671:B671"/>
    <mergeCell ref="A659:D659"/>
    <mergeCell ref="A1:AH1"/>
    <mergeCell ref="A2:AH2"/>
    <mergeCell ref="A4:AH4"/>
    <mergeCell ref="A3:AH3"/>
  </mergeCells>
  <conditionalFormatting sqref="E8">
    <cfRule type="duplicateValues" dxfId="248" priority="303"/>
  </conditionalFormatting>
  <conditionalFormatting sqref="E559:E561 E9:E16 E33:E37 E49:E53 E62 E65:E80 E82:E86 E89 E91:E101 E103:E107 E109:E114 E130:E135 E140 E142:E143 E145 E147 E153:E157 E159:E169 E180:E181 E201:E203 E205:E227 E236:E240 E242:E243 E246 E248:E249 E269 E271:E287 E298:E353 E355 E357:E362 E364:E367 E372:E378 E398:E399 E18:E26 E28:E31 E39:E47 E56:E60 E116:E128 E198:E199 E229 E231:E234 E251:E265 E138 E387:E395 E289:E293 E380:E385 E193:E196">
    <cfRule type="duplicateValues" dxfId="247" priority="279"/>
  </conditionalFormatting>
  <conditionalFormatting sqref="E18:E26 E9:E16 E28">
    <cfRule type="duplicateValues" dxfId="246" priority="276"/>
  </conditionalFormatting>
  <conditionalFormatting sqref="E29:E31 E33:E37 E39:E43">
    <cfRule type="duplicateValues" dxfId="245" priority="275"/>
  </conditionalFormatting>
  <conditionalFormatting sqref="E44">
    <cfRule type="duplicateValues" dxfId="244" priority="274"/>
  </conditionalFormatting>
  <conditionalFormatting sqref="E196">
    <cfRule type="duplicateValues" dxfId="243" priority="272"/>
  </conditionalFormatting>
  <conditionalFormatting sqref="E199">
    <cfRule type="duplicateValues" dxfId="242" priority="271"/>
  </conditionalFormatting>
  <conditionalFormatting sqref="E198 E201">
    <cfRule type="duplicateValues" dxfId="241" priority="270"/>
  </conditionalFormatting>
  <conditionalFormatting sqref="E236:E240 E202:E203 E205:E227 E242:E243 E246 E248:E249 E269 E271:E281 E229 E231:E234 E251:E265">
    <cfRule type="duplicateValues" dxfId="240" priority="269"/>
  </conditionalFormatting>
  <conditionalFormatting sqref="E400:E403 E407 E410:E411">
    <cfRule type="duplicateValues" dxfId="239" priority="267"/>
  </conditionalFormatting>
  <conditionalFormatting sqref="E412:E415">
    <cfRule type="duplicateValues" dxfId="238" priority="266"/>
  </conditionalFormatting>
  <conditionalFormatting sqref="E416">
    <cfRule type="duplicateValues" dxfId="237" priority="265"/>
  </conditionalFormatting>
  <conditionalFormatting sqref="E417">
    <cfRule type="duplicateValues" dxfId="236" priority="264"/>
  </conditionalFormatting>
  <conditionalFormatting sqref="E418:E421">
    <cfRule type="duplicateValues" dxfId="235" priority="263"/>
  </conditionalFormatting>
  <conditionalFormatting sqref="E423:E424 E431:E432 E429">
    <cfRule type="duplicateValues" dxfId="234" priority="262"/>
  </conditionalFormatting>
  <conditionalFormatting sqref="E433">
    <cfRule type="duplicateValues" dxfId="233" priority="261"/>
  </conditionalFormatting>
  <conditionalFormatting sqref="E434">
    <cfRule type="duplicateValues" dxfId="232" priority="260"/>
  </conditionalFormatting>
  <conditionalFormatting sqref="E501:E505 E484:E491 E493:E499">
    <cfRule type="duplicateValues" dxfId="231" priority="257"/>
  </conditionalFormatting>
  <conditionalFormatting sqref="E500">
    <cfRule type="duplicateValues" dxfId="230" priority="256"/>
  </conditionalFormatting>
  <conditionalFormatting sqref="E506:E517 E520:E533">
    <cfRule type="duplicateValues" dxfId="229" priority="255"/>
  </conditionalFormatting>
  <conditionalFormatting sqref="E534">
    <cfRule type="duplicateValues" dxfId="228" priority="254"/>
  </conditionalFormatting>
  <conditionalFormatting sqref="E562">
    <cfRule type="duplicateValues" dxfId="227" priority="252"/>
  </conditionalFormatting>
  <conditionalFormatting sqref="E652:E653 E563:E582 E618:E619 E586:E605 E612:E616 E621:E625 E627 E629:E632 E641:E648">
    <cfRule type="duplicateValues" dxfId="226" priority="253"/>
  </conditionalFormatting>
  <conditionalFormatting sqref="E6">
    <cfRule type="duplicateValues" dxfId="225" priority="250" stopIfTrue="1"/>
  </conditionalFormatting>
  <conditionalFormatting sqref="E6">
    <cfRule type="duplicateValues" dxfId="224" priority="251"/>
  </conditionalFormatting>
  <conditionalFormatting sqref="E180:E181 E82:E86 E45:E47 E49:E53 E62 E65:E80 E89 E91:E101 E103:E107 E109:E114 E130:E135 E140 E142:E143 E145 E147 E153:E157 E159:E169 E56:E60 E116:E128 E138 E193:E195">
    <cfRule type="duplicateValues" dxfId="223" priority="311"/>
  </conditionalFormatting>
  <conditionalFormatting sqref="E398:E399 E355 E283:E287 E298:E353 E357:E362 E364:E367 E372:E378 E387:E395 E289:E293 E380:E385">
    <cfRule type="duplicateValues" dxfId="222" priority="314"/>
  </conditionalFormatting>
  <conditionalFormatting sqref="E7">
    <cfRule type="duplicateValues" dxfId="221" priority="248" stopIfTrue="1"/>
    <cfRule type="duplicateValues" dxfId="220" priority="249"/>
  </conditionalFormatting>
  <conditionalFormatting sqref="E32">
    <cfRule type="duplicateValues" dxfId="219" priority="244" stopIfTrue="1"/>
    <cfRule type="duplicateValues" dxfId="218" priority="245"/>
  </conditionalFormatting>
  <conditionalFormatting sqref="E48">
    <cfRule type="duplicateValues" dxfId="217" priority="242" stopIfTrue="1"/>
    <cfRule type="duplicateValues" dxfId="216" priority="243"/>
  </conditionalFormatting>
  <conditionalFormatting sqref="E61">
    <cfRule type="duplicateValues" dxfId="215" priority="240" stopIfTrue="1"/>
    <cfRule type="duplicateValues" dxfId="214" priority="241"/>
  </conditionalFormatting>
  <conditionalFormatting sqref="E63">
    <cfRule type="duplicateValues" dxfId="213" priority="238" stopIfTrue="1"/>
    <cfRule type="duplicateValues" dxfId="212" priority="239"/>
  </conditionalFormatting>
  <conditionalFormatting sqref="E81">
    <cfRule type="duplicateValues" dxfId="211" priority="236" stopIfTrue="1"/>
    <cfRule type="duplicateValues" dxfId="210" priority="237"/>
  </conditionalFormatting>
  <conditionalFormatting sqref="E87:E88">
    <cfRule type="duplicateValues" dxfId="209" priority="234" stopIfTrue="1"/>
    <cfRule type="duplicateValues" dxfId="208" priority="235"/>
  </conditionalFormatting>
  <conditionalFormatting sqref="E90">
    <cfRule type="duplicateValues" dxfId="207" priority="232" stopIfTrue="1"/>
    <cfRule type="duplicateValues" dxfId="206" priority="233"/>
  </conditionalFormatting>
  <conditionalFormatting sqref="E102">
    <cfRule type="duplicateValues" dxfId="205" priority="230" stopIfTrue="1"/>
    <cfRule type="duplicateValues" dxfId="204" priority="231"/>
  </conditionalFormatting>
  <conditionalFormatting sqref="E108">
    <cfRule type="duplicateValues" dxfId="203" priority="228" stopIfTrue="1"/>
    <cfRule type="duplicateValues" dxfId="202" priority="229"/>
  </conditionalFormatting>
  <conditionalFormatting sqref="E129">
    <cfRule type="duplicateValues" dxfId="201" priority="226" stopIfTrue="1"/>
    <cfRule type="duplicateValues" dxfId="200" priority="227"/>
  </conditionalFormatting>
  <conditionalFormatting sqref="E139">
    <cfRule type="duplicateValues" dxfId="199" priority="224" stopIfTrue="1"/>
    <cfRule type="duplicateValues" dxfId="198" priority="225"/>
  </conditionalFormatting>
  <conditionalFormatting sqref="E141">
    <cfRule type="duplicateValues" dxfId="197" priority="222" stopIfTrue="1"/>
    <cfRule type="duplicateValues" dxfId="196" priority="223"/>
  </conditionalFormatting>
  <conditionalFormatting sqref="E144">
    <cfRule type="duplicateValues" dxfId="195" priority="220" stopIfTrue="1"/>
    <cfRule type="duplicateValues" dxfId="194" priority="221"/>
  </conditionalFormatting>
  <conditionalFormatting sqref="E146">
    <cfRule type="duplicateValues" dxfId="193" priority="218" stopIfTrue="1"/>
    <cfRule type="duplicateValues" dxfId="192" priority="219"/>
  </conditionalFormatting>
  <conditionalFormatting sqref="E148 E151:E152">
    <cfRule type="duplicateValues" dxfId="191" priority="216" stopIfTrue="1"/>
    <cfRule type="duplicateValues" dxfId="190" priority="217"/>
  </conditionalFormatting>
  <conditionalFormatting sqref="E158">
    <cfRule type="duplicateValues" dxfId="189" priority="214" stopIfTrue="1"/>
    <cfRule type="duplicateValues" dxfId="188" priority="215"/>
  </conditionalFormatting>
  <conditionalFormatting sqref="E170 E172:E176">
    <cfRule type="duplicateValues" dxfId="187" priority="212" stopIfTrue="1"/>
    <cfRule type="duplicateValues" dxfId="186" priority="213"/>
  </conditionalFormatting>
  <conditionalFormatting sqref="E200">
    <cfRule type="duplicateValues" dxfId="185" priority="210" stopIfTrue="1"/>
    <cfRule type="duplicateValues" dxfId="184" priority="211"/>
  </conditionalFormatting>
  <conditionalFormatting sqref="E204">
    <cfRule type="duplicateValues" dxfId="183" priority="208" stopIfTrue="1"/>
    <cfRule type="duplicateValues" dxfId="182" priority="209"/>
  </conditionalFormatting>
  <conditionalFormatting sqref="E235">
    <cfRule type="duplicateValues" dxfId="181" priority="206" stopIfTrue="1"/>
    <cfRule type="duplicateValues" dxfId="180" priority="207"/>
  </conditionalFormatting>
  <conditionalFormatting sqref="E241">
    <cfRule type="duplicateValues" dxfId="179" priority="204" stopIfTrue="1"/>
    <cfRule type="duplicateValues" dxfId="178" priority="205"/>
  </conditionalFormatting>
  <conditionalFormatting sqref="E244">
    <cfRule type="duplicateValues" dxfId="177" priority="202" stopIfTrue="1"/>
    <cfRule type="duplicateValues" dxfId="176" priority="203"/>
  </conditionalFormatting>
  <conditionalFormatting sqref="E247">
    <cfRule type="duplicateValues" dxfId="175" priority="200" stopIfTrue="1"/>
    <cfRule type="duplicateValues" dxfId="174" priority="201"/>
  </conditionalFormatting>
  <conditionalFormatting sqref="E266:E268">
    <cfRule type="duplicateValues" dxfId="173" priority="198" stopIfTrue="1"/>
    <cfRule type="duplicateValues" dxfId="172" priority="199"/>
  </conditionalFormatting>
  <conditionalFormatting sqref="E270">
    <cfRule type="duplicateValues" dxfId="171" priority="196" stopIfTrue="1"/>
    <cfRule type="duplicateValues" dxfId="170" priority="197"/>
  </conditionalFormatting>
  <conditionalFormatting sqref="E294 E296:E297">
    <cfRule type="duplicateValues" dxfId="169" priority="194" stopIfTrue="1"/>
    <cfRule type="duplicateValues" dxfId="168" priority="195"/>
  </conditionalFormatting>
  <conditionalFormatting sqref="E354">
    <cfRule type="duplicateValues" dxfId="167" priority="192" stopIfTrue="1"/>
    <cfRule type="duplicateValues" dxfId="166" priority="193"/>
  </conditionalFormatting>
  <conditionalFormatting sqref="E356">
    <cfRule type="duplicateValues" dxfId="165" priority="190" stopIfTrue="1"/>
    <cfRule type="duplicateValues" dxfId="164" priority="191"/>
  </conditionalFormatting>
  <conditionalFormatting sqref="E363">
    <cfRule type="duplicateValues" dxfId="163" priority="188" stopIfTrue="1"/>
    <cfRule type="duplicateValues" dxfId="162" priority="189"/>
  </conditionalFormatting>
  <conditionalFormatting sqref="E368">
    <cfRule type="duplicateValues" dxfId="161" priority="186" stopIfTrue="1"/>
    <cfRule type="duplicateValues" dxfId="160" priority="187"/>
  </conditionalFormatting>
  <conditionalFormatting sqref="E396:E397">
    <cfRule type="duplicateValues" dxfId="159" priority="184" stopIfTrue="1"/>
    <cfRule type="duplicateValues" dxfId="158" priority="185"/>
  </conditionalFormatting>
  <conditionalFormatting sqref="E435:E445 E448 E457:E458 E450:E452 E466:E468 E454:E455">
    <cfRule type="duplicateValues" dxfId="157" priority="502"/>
  </conditionalFormatting>
  <conditionalFormatting sqref="E652:E653 E618:E619 E9:E16 E33:E37 E49:E53 E62 E65:E80 E82:E86 E89 E91:E101 E103:E107 E109:E114 E130:E135 E140 E142:E143 E145 E147 E153:E157 E159:E169 E180:E181 E201:E203 E205:E227 E236:E240 E242:E243 E246 E248:E249 E269 E271:E287 E298:E353 E355 E357:E362 E364:E367 E372:E378 E398:E403 E448 E457:E458 E18:E26 E28:E31 E39:E47 E56:E60 E116:E128 E198:E199 E229 E231:E234 E251:E265 E407 E431:E445 E450:E452 E466:E491 E586:E605 E612:E616 E621:E625 E138 E387:E395 E542:E582 E627 E289:E293 E380:E385 E410:E421 E429 E493:E517 E520:E540 E629:E632 E641:E648 E423:E424 E454:E455 E193:E196">
    <cfRule type="duplicateValues" dxfId="156" priority="506" stopIfTrue="1"/>
  </conditionalFormatting>
  <conditionalFormatting sqref="E652:E653 E618:E619 E9:E16 E6 E33:E37 E49:E53 E62 E65:E80 E82:E86 E89 E91:E101 E103:E107 E109:E114 E130:E135 E140 E142:E143 E145 E147 E153:E157 E159:E169 E180:E181 E201:E203 E205:E227 E236:E240 E242:E243 E246 E248:E249 E269 E271:E287 E298:E353 E355 E357:E362 E364:E367 E372:E378 E398:E403 E448 E457:E458 E18:E26 E28:E31 E39:E47 E56:E60 E116:E128 E198:E199 E229 E231:E234 E251:E265 E407 E431:E445 E450:E452 E466:E491 E586:E605 E612:E616 E621:E625 E138 E387:E395 E542:E582 E627 E289:E293 E380:E385 E410:E421 E429 E493:E517 E520:E540 E629:E632 E641:E648 E423:E424 E454:E455 E193:E196">
    <cfRule type="duplicateValues" dxfId="155" priority="542" stopIfTrue="1"/>
  </conditionalFormatting>
  <conditionalFormatting sqref="E617">
    <cfRule type="duplicateValues" dxfId="154" priority="178" stopIfTrue="1"/>
    <cfRule type="duplicateValues" dxfId="153" priority="179"/>
  </conditionalFormatting>
  <conditionalFormatting sqref="E649:E651">
    <cfRule type="duplicateValues" dxfId="152" priority="176" stopIfTrue="1"/>
    <cfRule type="duplicateValues" dxfId="151" priority="177"/>
  </conditionalFormatting>
  <conditionalFormatting sqref="E17">
    <cfRule type="duplicateValues" dxfId="150" priority="174" stopIfTrue="1"/>
  </conditionalFormatting>
  <conditionalFormatting sqref="E17">
    <cfRule type="duplicateValues" dxfId="149" priority="175"/>
  </conditionalFormatting>
  <conditionalFormatting sqref="E27">
    <cfRule type="duplicateValues" dxfId="148" priority="172" stopIfTrue="1"/>
  </conditionalFormatting>
  <conditionalFormatting sqref="E27">
    <cfRule type="duplicateValues" dxfId="147" priority="173"/>
  </conditionalFormatting>
  <conditionalFormatting sqref="E38">
    <cfRule type="duplicateValues" dxfId="146" priority="170" stopIfTrue="1"/>
  </conditionalFormatting>
  <conditionalFormatting sqref="E38">
    <cfRule type="duplicateValues" dxfId="145" priority="171"/>
  </conditionalFormatting>
  <conditionalFormatting sqref="E54">
    <cfRule type="duplicateValues" dxfId="144" priority="168" stopIfTrue="1"/>
  </conditionalFormatting>
  <conditionalFormatting sqref="E54">
    <cfRule type="duplicateValues" dxfId="143" priority="169"/>
  </conditionalFormatting>
  <conditionalFormatting sqref="E55">
    <cfRule type="duplicateValues" dxfId="142" priority="166" stopIfTrue="1"/>
  </conditionalFormatting>
  <conditionalFormatting sqref="E55">
    <cfRule type="duplicateValues" dxfId="141" priority="167"/>
  </conditionalFormatting>
  <conditionalFormatting sqref="E64">
    <cfRule type="duplicateValues" dxfId="140" priority="164" stopIfTrue="1"/>
  </conditionalFormatting>
  <conditionalFormatting sqref="E64">
    <cfRule type="duplicateValues" dxfId="139" priority="165"/>
  </conditionalFormatting>
  <conditionalFormatting sqref="E115">
    <cfRule type="duplicateValues" dxfId="138" priority="162" stopIfTrue="1"/>
  </conditionalFormatting>
  <conditionalFormatting sqref="E115">
    <cfRule type="duplicateValues" dxfId="137" priority="163"/>
  </conditionalFormatting>
  <conditionalFormatting sqref="E149">
    <cfRule type="duplicateValues" dxfId="136" priority="160" stopIfTrue="1"/>
  </conditionalFormatting>
  <conditionalFormatting sqref="E149">
    <cfRule type="duplicateValues" dxfId="135" priority="161"/>
  </conditionalFormatting>
  <conditionalFormatting sqref="E150">
    <cfRule type="duplicateValues" dxfId="134" priority="158" stopIfTrue="1"/>
  </conditionalFormatting>
  <conditionalFormatting sqref="E150">
    <cfRule type="duplicateValues" dxfId="133" priority="159"/>
  </conditionalFormatting>
  <conditionalFormatting sqref="E171">
    <cfRule type="duplicateValues" dxfId="132" priority="156" stopIfTrue="1"/>
  </conditionalFormatting>
  <conditionalFormatting sqref="E171">
    <cfRule type="duplicateValues" dxfId="131" priority="157"/>
  </conditionalFormatting>
  <conditionalFormatting sqref="E177">
    <cfRule type="duplicateValues" dxfId="130" priority="154" stopIfTrue="1"/>
  </conditionalFormatting>
  <conditionalFormatting sqref="E177">
    <cfRule type="duplicateValues" dxfId="129" priority="155"/>
  </conditionalFormatting>
  <conditionalFormatting sqref="E178">
    <cfRule type="duplicateValues" dxfId="128" priority="152" stopIfTrue="1"/>
  </conditionalFormatting>
  <conditionalFormatting sqref="E178">
    <cfRule type="duplicateValues" dxfId="127" priority="153"/>
  </conditionalFormatting>
  <conditionalFormatting sqref="E179">
    <cfRule type="duplicateValues" dxfId="126" priority="150" stopIfTrue="1"/>
  </conditionalFormatting>
  <conditionalFormatting sqref="E179">
    <cfRule type="duplicateValues" dxfId="125" priority="151"/>
  </conditionalFormatting>
  <conditionalFormatting sqref="E197">
    <cfRule type="duplicateValues" dxfId="124" priority="148" stopIfTrue="1"/>
  </conditionalFormatting>
  <conditionalFormatting sqref="E197">
    <cfRule type="duplicateValues" dxfId="123" priority="149"/>
  </conditionalFormatting>
  <conditionalFormatting sqref="E228">
    <cfRule type="duplicateValues" dxfId="122" priority="146" stopIfTrue="1"/>
  </conditionalFormatting>
  <conditionalFormatting sqref="E228">
    <cfRule type="duplicateValues" dxfId="121" priority="147"/>
  </conditionalFormatting>
  <conditionalFormatting sqref="E230">
    <cfRule type="duplicateValues" dxfId="120" priority="144" stopIfTrue="1"/>
  </conditionalFormatting>
  <conditionalFormatting sqref="E230">
    <cfRule type="duplicateValues" dxfId="119" priority="145"/>
  </conditionalFormatting>
  <conditionalFormatting sqref="E245">
    <cfRule type="duplicateValues" dxfId="118" priority="142" stopIfTrue="1"/>
  </conditionalFormatting>
  <conditionalFormatting sqref="E245">
    <cfRule type="duplicateValues" dxfId="117" priority="143"/>
  </conditionalFormatting>
  <conditionalFormatting sqref="E250">
    <cfRule type="duplicateValues" dxfId="116" priority="140" stopIfTrue="1"/>
  </conditionalFormatting>
  <conditionalFormatting sqref="E250">
    <cfRule type="duplicateValues" dxfId="115" priority="141"/>
  </conditionalFormatting>
  <conditionalFormatting sqref="E295">
    <cfRule type="duplicateValues" dxfId="114" priority="138" stopIfTrue="1"/>
  </conditionalFormatting>
  <conditionalFormatting sqref="E295">
    <cfRule type="duplicateValues" dxfId="113" priority="139"/>
  </conditionalFormatting>
  <conditionalFormatting sqref="E404:E406">
    <cfRule type="duplicateValues" dxfId="112" priority="136" stopIfTrue="1"/>
  </conditionalFormatting>
  <conditionalFormatting sqref="E404:E406">
    <cfRule type="duplicateValues" dxfId="111" priority="137"/>
  </conditionalFormatting>
  <conditionalFormatting sqref="E430">
    <cfRule type="duplicateValues" dxfId="110" priority="134" stopIfTrue="1"/>
  </conditionalFormatting>
  <conditionalFormatting sqref="E430">
    <cfRule type="duplicateValues" dxfId="109" priority="135"/>
  </conditionalFormatting>
  <conditionalFormatting sqref="E447">
    <cfRule type="duplicateValues" dxfId="108" priority="132" stopIfTrue="1"/>
  </conditionalFormatting>
  <conditionalFormatting sqref="E447">
    <cfRule type="duplicateValues" dxfId="107" priority="133"/>
  </conditionalFormatting>
  <conditionalFormatting sqref="E449">
    <cfRule type="duplicateValues" dxfId="106" priority="130" stopIfTrue="1"/>
  </conditionalFormatting>
  <conditionalFormatting sqref="E449">
    <cfRule type="duplicateValues" dxfId="105" priority="131"/>
  </conditionalFormatting>
  <conditionalFormatting sqref="E459:E465">
    <cfRule type="duplicateValues" dxfId="104" priority="128" stopIfTrue="1"/>
  </conditionalFormatting>
  <conditionalFormatting sqref="E459:E465">
    <cfRule type="duplicateValues" dxfId="103" priority="129"/>
  </conditionalFormatting>
  <conditionalFormatting sqref="E585">
    <cfRule type="duplicateValues" dxfId="102" priority="126" stopIfTrue="1"/>
  </conditionalFormatting>
  <conditionalFormatting sqref="E585">
    <cfRule type="duplicateValues" dxfId="101" priority="127"/>
  </conditionalFormatting>
  <conditionalFormatting sqref="E610">
    <cfRule type="duplicateValues" dxfId="100" priority="124" stopIfTrue="1"/>
  </conditionalFormatting>
  <conditionalFormatting sqref="E610">
    <cfRule type="duplicateValues" dxfId="99" priority="125"/>
  </conditionalFormatting>
  <conditionalFormatting sqref="E611">
    <cfRule type="duplicateValues" dxfId="98" priority="122" stopIfTrue="1"/>
  </conditionalFormatting>
  <conditionalFormatting sqref="E611">
    <cfRule type="duplicateValues" dxfId="97" priority="123"/>
  </conditionalFormatting>
  <conditionalFormatting sqref="E620">
    <cfRule type="duplicateValues" dxfId="96" priority="120" stopIfTrue="1"/>
  </conditionalFormatting>
  <conditionalFormatting sqref="E620">
    <cfRule type="duplicateValues" dxfId="95" priority="121"/>
  </conditionalFormatting>
  <conditionalFormatting sqref="E137">
    <cfRule type="duplicateValues" dxfId="94" priority="116"/>
  </conditionalFormatting>
  <conditionalFormatting sqref="E137">
    <cfRule type="duplicateValues" dxfId="93" priority="117"/>
  </conditionalFormatting>
  <conditionalFormatting sqref="E137">
    <cfRule type="duplicateValues" dxfId="92" priority="118" stopIfTrue="1"/>
  </conditionalFormatting>
  <conditionalFormatting sqref="E137">
    <cfRule type="duplicateValues" dxfId="91" priority="119" stopIfTrue="1"/>
  </conditionalFormatting>
  <conditionalFormatting sqref="E136">
    <cfRule type="duplicateValues" dxfId="90" priority="112"/>
  </conditionalFormatting>
  <conditionalFormatting sqref="E136">
    <cfRule type="duplicateValues" dxfId="89" priority="113"/>
  </conditionalFormatting>
  <conditionalFormatting sqref="E136">
    <cfRule type="duplicateValues" dxfId="88" priority="114" stopIfTrue="1"/>
  </conditionalFormatting>
  <conditionalFormatting sqref="E136">
    <cfRule type="duplicateValues" dxfId="87" priority="115" stopIfTrue="1"/>
  </conditionalFormatting>
  <conditionalFormatting sqref="E386">
    <cfRule type="duplicateValues" dxfId="86" priority="108"/>
  </conditionalFormatting>
  <conditionalFormatting sqref="E386">
    <cfRule type="duplicateValues" dxfId="85" priority="109"/>
  </conditionalFormatting>
  <conditionalFormatting sqref="E386">
    <cfRule type="duplicateValues" dxfId="84" priority="110" stopIfTrue="1"/>
  </conditionalFormatting>
  <conditionalFormatting sqref="E386">
    <cfRule type="duplicateValues" dxfId="83" priority="111" stopIfTrue="1"/>
  </conditionalFormatting>
  <conditionalFormatting sqref="E446">
    <cfRule type="duplicateValues" dxfId="82" priority="105"/>
  </conditionalFormatting>
  <conditionalFormatting sqref="E446">
    <cfRule type="duplicateValues" dxfId="81" priority="106" stopIfTrue="1"/>
  </conditionalFormatting>
  <conditionalFormatting sqref="E446">
    <cfRule type="duplicateValues" dxfId="80" priority="107" stopIfTrue="1"/>
  </conditionalFormatting>
  <conditionalFormatting sqref="E469:E483">
    <cfRule type="duplicateValues" dxfId="79" priority="586"/>
  </conditionalFormatting>
  <conditionalFormatting sqref="E541">
    <cfRule type="duplicateValues" dxfId="78" priority="103" stopIfTrue="1"/>
  </conditionalFormatting>
  <conditionalFormatting sqref="E541">
    <cfRule type="duplicateValues" dxfId="77" priority="104" stopIfTrue="1"/>
  </conditionalFormatting>
  <conditionalFormatting sqref="E626">
    <cfRule type="duplicateValues" dxfId="76" priority="97"/>
  </conditionalFormatting>
  <conditionalFormatting sqref="E626">
    <cfRule type="duplicateValues" dxfId="75" priority="98" stopIfTrue="1"/>
  </conditionalFormatting>
  <conditionalFormatting sqref="E626">
    <cfRule type="duplicateValues" dxfId="74" priority="99" stopIfTrue="1"/>
  </conditionalFormatting>
  <conditionalFormatting sqref="E288">
    <cfRule type="duplicateValues" dxfId="73" priority="93"/>
  </conditionalFormatting>
  <conditionalFormatting sqref="E288">
    <cfRule type="duplicateValues" dxfId="72" priority="94"/>
  </conditionalFormatting>
  <conditionalFormatting sqref="E288">
    <cfRule type="duplicateValues" dxfId="71" priority="95" stopIfTrue="1"/>
  </conditionalFormatting>
  <conditionalFormatting sqref="E288">
    <cfRule type="duplicateValues" dxfId="70" priority="96" stopIfTrue="1"/>
  </conditionalFormatting>
  <conditionalFormatting sqref="E371">
    <cfRule type="duplicateValues" dxfId="69" priority="89"/>
  </conditionalFormatting>
  <conditionalFormatting sqref="E371">
    <cfRule type="duplicateValues" dxfId="68" priority="90"/>
  </conditionalFormatting>
  <conditionalFormatting sqref="E371">
    <cfRule type="duplicateValues" dxfId="67" priority="91" stopIfTrue="1"/>
  </conditionalFormatting>
  <conditionalFormatting sqref="E371">
    <cfRule type="duplicateValues" dxfId="66" priority="92" stopIfTrue="1"/>
  </conditionalFormatting>
  <conditionalFormatting sqref="E369">
    <cfRule type="duplicateValues" dxfId="65" priority="85"/>
  </conditionalFormatting>
  <conditionalFormatting sqref="E369">
    <cfRule type="duplicateValues" dxfId="64" priority="86"/>
  </conditionalFormatting>
  <conditionalFormatting sqref="E369">
    <cfRule type="duplicateValues" dxfId="63" priority="87" stopIfTrue="1"/>
  </conditionalFormatting>
  <conditionalFormatting sqref="E369">
    <cfRule type="duplicateValues" dxfId="62" priority="88" stopIfTrue="1"/>
  </conditionalFormatting>
  <conditionalFormatting sqref="E370">
    <cfRule type="duplicateValues" dxfId="61" priority="81"/>
  </conditionalFormatting>
  <conditionalFormatting sqref="E370">
    <cfRule type="duplicateValues" dxfId="60" priority="82"/>
  </conditionalFormatting>
  <conditionalFormatting sqref="E370">
    <cfRule type="duplicateValues" dxfId="59" priority="83" stopIfTrue="1"/>
  </conditionalFormatting>
  <conditionalFormatting sqref="E370">
    <cfRule type="duplicateValues" dxfId="58" priority="84" stopIfTrue="1"/>
  </conditionalFormatting>
  <conditionalFormatting sqref="E379">
    <cfRule type="duplicateValues" dxfId="57" priority="77"/>
  </conditionalFormatting>
  <conditionalFormatting sqref="E379">
    <cfRule type="duplicateValues" dxfId="56" priority="78"/>
  </conditionalFormatting>
  <conditionalFormatting sqref="E379">
    <cfRule type="duplicateValues" dxfId="55" priority="79" stopIfTrue="1"/>
  </conditionalFormatting>
  <conditionalFormatting sqref="E379">
    <cfRule type="duplicateValues" dxfId="54" priority="80" stopIfTrue="1"/>
  </conditionalFormatting>
  <conditionalFormatting sqref="E408:E409">
    <cfRule type="duplicateValues" dxfId="53" priority="74"/>
  </conditionalFormatting>
  <conditionalFormatting sqref="E408:E409">
    <cfRule type="duplicateValues" dxfId="52" priority="75" stopIfTrue="1"/>
  </conditionalFormatting>
  <conditionalFormatting sqref="E408:E409">
    <cfRule type="duplicateValues" dxfId="51" priority="76" stopIfTrue="1"/>
  </conditionalFormatting>
  <conditionalFormatting sqref="E426">
    <cfRule type="duplicateValues" dxfId="50" priority="71"/>
  </conditionalFormatting>
  <conditionalFormatting sqref="E426">
    <cfRule type="duplicateValues" dxfId="49" priority="72" stopIfTrue="1"/>
  </conditionalFormatting>
  <conditionalFormatting sqref="E426">
    <cfRule type="duplicateValues" dxfId="48" priority="73" stopIfTrue="1"/>
  </conditionalFormatting>
  <conditionalFormatting sqref="E427">
    <cfRule type="duplicateValues" dxfId="47" priority="68"/>
  </conditionalFormatting>
  <conditionalFormatting sqref="E427">
    <cfRule type="duplicateValues" dxfId="46" priority="69" stopIfTrue="1"/>
  </conditionalFormatting>
  <conditionalFormatting sqref="E427">
    <cfRule type="duplicateValues" dxfId="45" priority="70" stopIfTrue="1"/>
  </conditionalFormatting>
  <conditionalFormatting sqref="E428">
    <cfRule type="duplicateValues" dxfId="44" priority="65"/>
  </conditionalFormatting>
  <conditionalFormatting sqref="E428">
    <cfRule type="duplicateValues" dxfId="43" priority="66" stopIfTrue="1"/>
  </conditionalFormatting>
  <conditionalFormatting sqref="E428">
    <cfRule type="duplicateValues" dxfId="42" priority="67" stopIfTrue="1"/>
  </conditionalFormatting>
  <conditionalFormatting sqref="E425">
    <cfRule type="duplicateValues" dxfId="41" priority="62"/>
  </conditionalFormatting>
  <conditionalFormatting sqref="E425">
    <cfRule type="duplicateValues" dxfId="40" priority="63" stopIfTrue="1"/>
  </conditionalFormatting>
  <conditionalFormatting sqref="E425">
    <cfRule type="duplicateValues" dxfId="39" priority="64" stopIfTrue="1"/>
  </conditionalFormatting>
  <conditionalFormatting sqref="E456">
    <cfRule type="duplicateValues" dxfId="38" priority="56"/>
  </conditionalFormatting>
  <conditionalFormatting sqref="E456">
    <cfRule type="duplicateValues" dxfId="37" priority="57" stopIfTrue="1"/>
  </conditionalFormatting>
  <conditionalFormatting sqref="E456">
    <cfRule type="duplicateValues" dxfId="36" priority="58" stopIfTrue="1"/>
  </conditionalFormatting>
  <conditionalFormatting sqref="E492">
    <cfRule type="duplicateValues" dxfId="35" priority="53"/>
  </conditionalFormatting>
  <conditionalFormatting sqref="E492">
    <cfRule type="duplicateValues" dxfId="34" priority="54" stopIfTrue="1"/>
  </conditionalFormatting>
  <conditionalFormatting sqref="E492">
    <cfRule type="duplicateValues" dxfId="33" priority="55" stopIfTrue="1"/>
  </conditionalFormatting>
  <conditionalFormatting sqref="E518:E519">
    <cfRule type="duplicateValues" dxfId="32" priority="50"/>
  </conditionalFormatting>
  <conditionalFormatting sqref="E518:E519">
    <cfRule type="duplicateValues" dxfId="31" priority="51" stopIfTrue="1"/>
  </conditionalFormatting>
  <conditionalFormatting sqref="E518:E519">
    <cfRule type="duplicateValues" dxfId="30" priority="52" stopIfTrue="1"/>
  </conditionalFormatting>
  <conditionalFormatting sqref="E583:E584">
    <cfRule type="duplicateValues" dxfId="29" priority="47"/>
  </conditionalFormatting>
  <conditionalFormatting sqref="E583:E584">
    <cfRule type="duplicateValues" dxfId="28" priority="48" stopIfTrue="1"/>
  </conditionalFormatting>
  <conditionalFormatting sqref="E583:E584">
    <cfRule type="duplicateValues" dxfId="27" priority="49" stopIfTrue="1"/>
  </conditionalFormatting>
  <conditionalFormatting sqref="E606">
    <cfRule type="duplicateValues" dxfId="26" priority="44"/>
  </conditionalFormatting>
  <conditionalFormatting sqref="E606">
    <cfRule type="duplicateValues" dxfId="25" priority="45" stopIfTrue="1"/>
  </conditionalFormatting>
  <conditionalFormatting sqref="E606">
    <cfRule type="duplicateValues" dxfId="24" priority="46" stopIfTrue="1"/>
  </conditionalFormatting>
  <conditionalFormatting sqref="E607:E609">
    <cfRule type="duplicateValues" dxfId="23" priority="716"/>
  </conditionalFormatting>
  <conditionalFormatting sqref="E607:E609">
    <cfRule type="duplicateValues" dxfId="22" priority="717" stopIfTrue="1"/>
  </conditionalFormatting>
  <conditionalFormatting sqref="E633">
    <cfRule type="duplicateValues" dxfId="21" priority="38"/>
  </conditionalFormatting>
  <conditionalFormatting sqref="E633">
    <cfRule type="duplicateValues" dxfId="20" priority="39" stopIfTrue="1"/>
  </conditionalFormatting>
  <conditionalFormatting sqref="E633">
    <cfRule type="duplicateValues" dxfId="19" priority="40" stopIfTrue="1"/>
  </conditionalFormatting>
  <conditionalFormatting sqref="E634:E635">
    <cfRule type="duplicateValues" dxfId="18" priority="35"/>
  </conditionalFormatting>
  <conditionalFormatting sqref="E634:E635">
    <cfRule type="duplicateValues" dxfId="17" priority="36" stopIfTrue="1"/>
  </conditionalFormatting>
  <conditionalFormatting sqref="E634:E635">
    <cfRule type="duplicateValues" dxfId="16" priority="37" stopIfTrue="1"/>
  </conditionalFormatting>
  <conditionalFormatting sqref="E636:E639">
    <cfRule type="duplicateValues" dxfId="15" priority="32"/>
  </conditionalFormatting>
  <conditionalFormatting sqref="E636:E639">
    <cfRule type="duplicateValues" dxfId="14" priority="33" stopIfTrue="1"/>
  </conditionalFormatting>
  <conditionalFormatting sqref="E636:E639">
    <cfRule type="duplicateValues" dxfId="13" priority="34" stopIfTrue="1"/>
  </conditionalFormatting>
  <conditionalFormatting sqref="E640">
    <cfRule type="duplicateValues" dxfId="12" priority="29"/>
  </conditionalFormatting>
  <conditionalFormatting sqref="E640">
    <cfRule type="duplicateValues" dxfId="11" priority="30" stopIfTrue="1"/>
  </conditionalFormatting>
  <conditionalFormatting sqref="E640">
    <cfRule type="duplicateValues" dxfId="10" priority="31" stopIfTrue="1"/>
  </conditionalFormatting>
  <conditionalFormatting sqref="E422">
    <cfRule type="duplicateValues" dxfId="9" priority="26"/>
  </conditionalFormatting>
  <conditionalFormatting sqref="E422">
    <cfRule type="duplicateValues" dxfId="8" priority="27" stopIfTrue="1"/>
  </conditionalFormatting>
  <conditionalFormatting sqref="E422">
    <cfRule type="duplicateValues" dxfId="7" priority="28" stopIfTrue="1"/>
  </conditionalFormatting>
  <conditionalFormatting sqref="E453">
    <cfRule type="duplicateValues" dxfId="6" priority="23"/>
  </conditionalFormatting>
  <conditionalFormatting sqref="E453">
    <cfRule type="duplicateValues" dxfId="5" priority="24" stopIfTrue="1"/>
  </conditionalFormatting>
  <conditionalFormatting sqref="E453">
    <cfRule type="duplicateValues" dxfId="4" priority="25" stopIfTrue="1"/>
  </conditionalFormatting>
  <conditionalFormatting sqref="E182:E192">
    <cfRule type="duplicateValues" dxfId="3" priority="1"/>
  </conditionalFormatting>
  <conditionalFormatting sqref="E182:E192">
    <cfRule type="duplicateValues" dxfId="2" priority="2"/>
  </conditionalFormatting>
  <conditionalFormatting sqref="E182:E192">
    <cfRule type="duplicateValues" dxfId="1" priority="3" stopIfTrue="1"/>
  </conditionalFormatting>
  <conditionalFormatting sqref="E182:E192">
    <cfRule type="duplicateValues" dxfId="0" priority="4" stopIfTrue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jarroyave</dc:creator>
  <cp:lastModifiedBy>ASTRID VANESSA JIMENEZ ZAPATA</cp:lastModifiedBy>
  <dcterms:created xsi:type="dcterms:W3CDTF">2014-03-12T19:13:31Z</dcterms:created>
  <dcterms:modified xsi:type="dcterms:W3CDTF">2023-03-27T16:15:24Z</dcterms:modified>
</cp:coreProperties>
</file>