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cristinaarismendy/Documents/METROSALUD completo/PROCESOS 2023/PROCESOS 2023/BUENOS AIRES/PROCESO FARMCIA- LABOR/"/>
    </mc:Choice>
  </mc:AlternateContent>
  <xr:revisionPtr revIDLastSave="0" documentId="8_{639373EC-E999-A440-AA6A-90CEA199A000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Consulta externa" sheetId="1" r:id="rId1"/>
    <sheet name="Hoja1" sheetId="2" r:id="rId2"/>
  </sheets>
  <definedNames>
    <definedName name="_xlnm.Print_Area" localSheetId="0">'Consulta externa'!$A$1:$M$26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D6" i="1"/>
  <c r="D33" i="1" l="1"/>
</calcChain>
</file>

<file path=xl/sharedStrings.xml><?xml version="1.0" encoding="utf-8"?>
<sst xmlns="http://schemas.openxmlformats.org/spreadsheetml/2006/main" count="56" uniqueCount="56">
  <si>
    <t>DIRECCIÓN OPERATIVA DE CONTRATACIÓN</t>
  </si>
  <si>
    <t>PROPUESTA ECONÓMICA</t>
  </si>
  <si>
    <t>ANEXO 5</t>
  </si>
  <si>
    <t>Descripción y elemento</t>
  </si>
  <si>
    <t xml:space="preserve">Cantidad </t>
  </si>
  <si>
    <t>Valor Unitario Tope INCLUIDO IVA</t>
  </si>
  <si>
    <t>Valor total tope</t>
  </si>
  <si>
    <t>Valor unitario oferta INCLUIDO IVA</t>
  </si>
  <si>
    <t>Valor Total Oferta INCLUIDO IVA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</si>
  <si>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</si>
  <si>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</si>
  <si>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</si>
  <si>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</si>
  <si>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</si>
  <si>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</si>
  <si>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</si>
  <si>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</si>
  <si>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</si>
  <si>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</si>
  <si>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</si>
  <si>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Marca ofertada</t>
  </si>
  <si>
    <t>Modelo ofertado</t>
  </si>
  <si>
    <t>Registro sanitario que ampara la referencia</t>
  </si>
  <si>
    <t>Fecha de vencimiento de registro sanitario</t>
  </si>
  <si>
    <t>IVA</t>
  </si>
  <si>
    <t>Garantía ofertada (mínimo 24 meses)</t>
  </si>
  <si>
    <t>Número de mantenimientos ofrecidos por año de garantía</t>
  </si>
  <si>
    <t>Valor unitario oferta sin IVA</t>
  </si>
  <si>
    <t>Micropipeta automática 25 μl</t>
  </si>
  <si>
    <t>Micropipeta automática de 100 μl a 1000 μl</t>
  </si>
  <si>
    <t>Micropipeta automática de 200 μl a 500 μl</t>
  </si>
  <si>
    <t>Micropipeta automática de 50 μl</t>
  </si>
  <si>
    <t>Cuentaglóbulos/contador digital</t>
  </si>
  <si>
    <t>Agitador de Mazzine</t>
  </si>
  <si>
    <t>Baño María</t>
  </si>
  <si>
    <t>Agitador o rotador para plaquetas</t>
  </si>
  <si>
    <t>Horno de secado</t>
  </si>
  <si>
    <t>Descongelador de plasma</t>
  </si>
  <si>
    <t>Centrifuga refrigerada</t>
  </si>
  <si>
    <t>Cámara de bioseguridad biológica clase II tipo 2A</t>
  </si>
  <si>
    <t>Centrífuga digital de mesa</t>
  </si>
  <si>
    <t>Timers contador para laboratorio</t>
  </si>
  <si>
    <t>Puente de coloración (Gradillas para coloracion de citologias)</t>
  </si>
  <si>
    <t>Gradilla plástica (capacidad mínima 40 tubos)</t>
  </si>
  <si>
    <t>Soporte para secado de láminas portaobjetos (Portaplacas en acrílico)</t>
  </si>
  <si>
    <t>Soporte para pipetas (Portapipetas de cinco puestos mínimo)</t>
  </si>
  <si>
    <t>Termohigrómetro con calibración</t>
  </si>
  <si>
    <t>Termómetro digital Min y Max</t>
  </si>
  <si>
    <t>Nevera portatil capacidad de 8 - 15 L</t>
  </si>
  <si>
    <t>Refrigerador vertical 510L (Nevera con control de temperatura y puerta panoramica)</t>
  </si>
  <si>
    <t>Refrigerador componentes sanguíneos (600-6</t>
  </si>
  <si>
    <t>Congelador horizontal de laboratorio (270L)</t>
  </si>
  <si>
    <t>Congelador vertical laboratorio (220L)</t>
  </si>
  <si>
    <t>Refrigerador vertical (220L) (Nevera con control de temperatura y puerta panorámica)</t>
  </si>
  <si>
    <t>Refrigerador vertical (100L) (Nevera medicamentos pequeña con puerta panorámica)</t>
  </si>
  <si>
    <r>
      <rPr>
        <b/>
        <sz val="12"/>
        <color theme="1"/>
        <rFont val="Century Gothic"/>
        <family val="2"/>
      </rPr>
      <t>Objeto:</t>
    </r>
    <r>
      <rPr>
        <sz val="12"/>
        <color theme="1"/>
        <rFont val="Century Gothic"/>
        <family val="2"/>
      </rPr>
      <t xml:space="preserve">  Adquisición de equipos biomédicos para la habilitación y puesta en funcionamiento de los servicios de Laboratorio clínico y Farmacéutico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</si>
</sst>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;[Red]\-&quot;$&quot;\ #,##0"/>
    <numFmt numFmtId="165" formatCode="_-&quot;$&quot;\ * #,##0.00_-;\-&quot;$&quot;\ * #,##0.00_-;_-&quot;$&quot;\ * &quot;-&quot;??_-;_-@_-"/>
    <numFmt numFmtId="166" formatCode="_(&quot;$&quot;\ * #,##0.00_);_(&quot;$&quot;\ * \(#,##0.00\);_(&quot;$&quot;\ * &quot;-&quot;??_);_(@_)"/>
    <numFmt numFmtId="167" formatCode="_-&quot;$&quot;\ * #,##0_-;\-&quot;$&quot;\ * #,##0_-;_-&quot;$&quot;\ * &quot;-&quot;??_-;_-@_-"/>
    <numFmt numFmtId="168" formatCode="&quot;$&quot;\ #,##0_);\(&quot;$&quot;\ #,##0\)"/>
    <numFmt numFmtId="169" formatCode="&quot;$&quot;\ #,##0.00_);\(&quot;$&quot;\ #,##0.00\)"/>
    <numFmt numFmtId="170" formatCode="&quot;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6" fontId="4" fillId="0" borderId="2" xfId="1" applyFont="1" applyFill="1" applyBorder="1" applyAlignment="1">
      <alignment horizontal="left" vertical="top"/>
    </xf>
    <xf numFmtId="167" fontId="4" fillId="0" borderId="1" xfId="1" applyNumberFormat="1" applyFont="1" applyFill="1" applyBorder="1" applyAlignment="1">
      <alignment horizontal="left" vertical="top"/>
    </xf>
    <xf numFmtId="165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4" fillId="0" borderId="2" xfId="1" applyFont="1" applyFill="1" applyBorder="1" applyAlignment="1">
      <alignment horizontal="left" vertical="center"/>
    </xf>
    <xf numFmtId="167" fontId="4" fillId="0" borderId="1" xfId="1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6" fontId="4" fillId="0" borderId="1" xfId="1" applyFont="1" applyFill="1" applyBorder="1" applyAlignment="1">
      <alignment horizontal="left" vertical="center"/>
    </xf>
    <xf numFmtId="169" fontId="2" fillId="0" borderId="1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70" fontId="3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6" fontId="2" fillId="2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zoomScale="70" zoomScaleNormal="70" workbookViewId="0">
      <selection activeCell="F32" sqref="F32"/>
    </sheetView>
  </sheetViews>
  <sheetFormatPr baseColWidth="10" defaultColWidth="11.5" defaultRowHeight="16" x14ac:dyDescent="0.2"/>
  <cols>
    <col min="1" max="1" width="49.6640625" style="21" customWidth="1"/>
    <col min="2" max="2" width="17.83203125" style="11" customWidth="1"/>
    <col min="3" max="3" width="26.83203125" style="1" customWidth="1"/>
    <col min="4" max="4" width="26" style="11" customWidth="1"/>
    <col min="5" max="6" width="22.6640625" style="1" customWidth="1"/>
    <col min="7" max="8" width="28.5" style="1" customWidth="1"/>
    <col min="9" max="9" width="25.5" style="1" customWidth="1"/>
    <col min="10" max="10" width="21.83203125" style="1" customWidth="1"/>
    <col min="11" max="13" width="28" style="1" customWidth="1"/>
    <col min="14" max="14" width="37.1640625" style="1" customWidth="1"/>
    <col min="15" max="16384" width="11.5" style="1"/>
  </cols>
  <sheetData>
    <row r="1" spans="1:14" ht="31.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8.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27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38.25" customHeight="1" x14ac:dyDescent="0.2">
      <c r="A4" s="24" t="s">
        <v>55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spans="1:14" ht="57" customHeight="1" x14ac:dyDescent="0.2">
      <c r="A5" s="19" t="s">
        <v>3</v>
      </c>
      <c r="B5" s="2" t="s">
        <v>4</v>
      </c>
      <c r="C5" s="2" t="s">
        <v>5</v>
      </c>
      <c r="D5" s="2" t="s">
        <v>6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27</v>
      </c>
      <c r="J5" s="2" t="s">
        <v>24</v>
      </c>
      <c r="K5" s="2" t="s">
        <v>7</v>
      </c>
      <c r="L5" s="2" t="s">
        <v>8</v>
      </c>
      <c r="M5" s="2" t="s">
        <v>25</v>
      </c>
      <c r="N5" s="2" t="s">
        <v>26</v>
      </c>
    </row>
    <row r="6" spans="1:14" ht="25" customHeight="1" x14ac:dyDescent="0.2">
      <c r="A6" s="20" t="s">
        <v>28</v>
      </c>
      <c r="B6" s="16">
        <v>2</v>
      </c>
      <c r="C6" s="17">
        <f>(1140000*19%)+ 1140000</f>
        <v>1356600</v>
      </c>
      <c r="D6" s="8">
        <f>C6*B6</f>
        <v>2713200</v>
      </c>
      <c r="E6" s="3"/>
      <c r="F6" s="3"/>
      <c r="G6" s="3"/>
      <c r="H6" s="3"/>
      <c r="I6" s="3"/>
      <c r="J6" s="3"/>
      <c r="K6" s="4"/>
      <c r="L6" s="4"/>
      <c r="M6" s="5"/>
      <c r="N6" s="6"/>
    </row>
    <row r="7" spans="1:14" ht="25" customHeight="1" x14ac:dyDescent="0.2">
      <c r="A7" s="20" t="s">
        <v>29</v>
      </c>
      <c r="B7" s="16">
        <v>2</v>
      </c>
      <c r="C7" s="17">
        <f xml:space="preserve"> (1161200*19%)+ 1161200</f>
        <v>1381828</v>
      </c>
      <c r="D7" s="8">
        <f t="shared" ref="D7:D32" si="0">C7*B7</f>
        <v>2763656</v>
      </c>
      <c r="E7" s="3"/>
      <c r="F7" s="3"/>
      <c r="G7" s="3"/>
      <c r="H7" s="3"/>
      <c r="I7" s="3"/>
      <c r="J7" s="3"/>
      <c r="K7" s="4"/>
      <c r="L7" s="4"/>
      <c r="M7" s="5"/>
      <c r="N7" s="7"/>
    </row>
    <row r="8" spans="1:14" ht="25" customHeight="1" x14ac:dyDescent="0.2">
      <c r="A8" s="20" t="s">
        <v>30</v>
      </c>
      <c r="B8" s="16">
        <v>2</v>
      </c>
      <c r="C8" s="17">
        <f xml:space="preserve"> (1161200*19%)+ 1161200</f>
        <v>1381828</v>
      </c>
      <c r="D8" s="8">
        <f t="shared" si="0"/>
        <v>2763656</v>
      </c>
      <c r="E8" s="3"/>
      <c r="F8" s="3"/>
      <c r="G8" s="3"/>
      <c r="H8" s="3"/>
      <c r="I8" s="3"/>
      <c r="J8" s="3"/>
      <c r="K8" s="4"/>
      <c r="M8" s="5"/>
      <c r="N8" s="7"/>
    </row>
    <row r="9" spans="1:14" ht="25" customHeight="1" x14ac:dyDescent="0.2">
      <c r="A9" s="20" t="s">
        <v>31</v>
      </c>
      <c r="B9" s="16">
        <v>2</v>
      </c>
      <c r="C9" s="17">
        <f>(800000*19%)+800000</f>
        <v>952000</v>
      </c>
      <c r="D9" s="8">
        <f t="shared" si="0"/>
        <v>1904000</v>
      </c>
      <c r="E9" s="3"/>
      <c r="F9" s="3"/>
      <c r="G9" s="3"/>
      <c r="H9" s="3"/>
      <c r="I9" s="3"/>
      <c r="J9" s="3"/>
      <c r="K9" s="4"/>
      <c r="L9" s="4"/>
      <c r="M9" s="5"/>
      <c r="N9" s="7"/>
    </row>
    <row r="10" spans="1:14" ht="25" customHeight="1" x14ac:dyDescent="0.2">
      <c r="A10" s="20" t="s">
        <v>32</v>
      </c>
      <c r="B10" s="16">
        <v>2</v>
      </c>
      <c r="C10" s="17">
        <f>(2100000*19%)+2100000</f>
        <v>2499000</v>
      </c>
      <c r="D10" s="8">
        <f t="shared" si="0"/>
        <v>4998000</v>
      </c>
      <c r="E10" s="3"/>
      <c r="F10" s="3"/>
      <c r="G10" s="3"/>
      <c r="H10" s="3"/>
      <c r="I10" s="3"/>
      <c r="J10" s="3"/>
      <c r="K10" s="4"/>
      <c r="L10" s="4"/>
      <c r="M10" s="5"/>
      <c r="N10" s="7"/>
    </row>
    <row r="11" spans="1:14" ht="25" customHeight="1" x14ac:dyDescent="0.2">
      <c r="A11" s="20" t="s">
        <v>33</v>
      </c>
      <c r="B11" s="16">
        <v>1</v>
      </c>
      <c r="C11" s="17">
        <f>(2100000*19%)+2100000</f>
        <v>2499000</v>
      </c>
      <c r="D11" s="8">
        <f t="shared" si="0"/>
        <v>2499000</v>
      </c>
      <c r="E11" s="3"/>
      <c r="F11" s="3"/>
      <c r="G11" s="3"/>
      <c r="H11" s="3"/>
      <c r="I11" s="3"/>
      <c r="J11" s="3"/>
      <c r="K11" s="4"/>
      <c r="L11" s="4"/>
      <c r="M11" s="5"/>
      <c r="N11" s="7"/>
    </row>
    <row r="12" spans="1:14" ht="25" customHeight="1" x14ac:dyDescent="0.2">
      <c r="A12" s="20" t="s">
        <v>34</v>
      </c>
      <c r="B12" s="16">
        <v>1</v>
      </c>
      <c r="C12" s="17">
        <f>( 5011000 *19%)+ 5011000</f>
        <v>5963090</v>
      </c>
      <c r="D12" s="8">
        <f t="shared" si="0"/>
        <v>5963090</v>
      </c>
      <c r="E12" s="3"/>
      <c r="F12" s="3"/>
      <c r="G12" s="3"/>
      <c r="H12" s="3"/>
      <c r="I12" s="3"/>
      <c r="J12" s="3"/>
      <c r="K12" s="4"/>
      <c r="L12" s="4"/>
      <c r="M12" s="5"/>
      <c r="N12" s="7"/>
    </row>
    <row r="13" spans="1:14" s="11" customFormat="1" ht="25" customHeight="1" x14ac:dyDescent="0.2">
      <c r="A13" s="20" t="s">
        <v>35</v>
      </c>
      <c r="B13" s="16">
        <v>1</v>
      </c>
      <c r="C13" s="17">
        <f>(17133200*19%)+17133200</f>
        <v>20388508</v>
      </c>
      <c r="D13" s="8">
        <f t="shared" si="0"/>
        <v>20388508</v>
      </c>
      <c r="E13" s="8"/>
      <c r="F13" s="8"/>
      <c r="G13" s="8"/>
      <c r="H13" s="8"/>
      <c r="I13" s="8"/>
      <c r="J13" s="8"/>
      <c r="K13" s="9"/>
      <c r="L13" s="9"/>
      <c r="M13" s="5"/>
      <c r="N13" s="10"/>
    </row>
    <row r="14" spans="1:14" ht="25" customHeight="1" x14ac:dyDescent="0.2">
      <c r="A14" s="20" t="s">
        <v>36</v>
      </c>
      <c r="B14" s="16">
        <v>1</v>
      </c>
      <c r="C14" s="17">
        <f>(7930000 *19%)+7930000</f>
        <v>9436700</v>
      </c>
      <c r="D14" s="8">
        <f t="shared" si="0"/>
        <v>9436700</v>
      </c>
      <c r="E14" s="8"/>
      <c r="F14" s="8"/>
      <c r="G14" s="8"/>
      <c r="H14" s="8"/>
      <c r="I14" s="8"/>
      <c r="J14" s="8"/>
      <c r="K14" s="9"/>
      <c r="L14" s="9"/>
      <c r="M14" s="5"/>
      <c r="N14" s="7"/>
    </row>
    <row r="15" spans="1:14" ht="25" customHeight="1" x14ac:dyDescent="0.2">
      <c r="A15" s="20" t="s">
        <v>37</v>
      </c>
      <c r="B15" s="16">
        <v>1</v>
      </c>
      <c r="C15" s="17">
        <f>(48200000*19%)+48200000</f>
        <v>57358000</v>
      </c>
      <c r="D15" s="8">
        <f t="shared" si="0"/>
        <v>57358000</v>
      </c>
      <c r="E15" s="3"/>
      <c r="F15" s="3"/>
      <c r="G15" s="3"/>
      <c r="H15" s="3"/>
      <c r="I15" s="3"/>
      <c r="J15" s="3"/>
      <c r="K15" s="4"/>
      <c r="L15" s="4"/>
      <c r="M15" s="5"/>
      <c r="N15" s="7"/>
    </row>
    <row r="16" spans="1:14" s="11" customFormat="1" ht="34.5" customHeight="1" x14ac:dyDescent="0.2">
      <c r="A16" s="20" t="s">
        <v>38</v>
      </c>
      <c r="B16" s="16">
        <v>1</v>
      </c>
      <c r="C16" s="17">
        <f>((45040800+6447500+ 299900+989700+560600+560600)*19%)+45040800+6447500+ 299900+989700+560600+560600</f>
        <v>64139929</v>
      </c>
      <c r="D16" s="8">
        <f t="shared" si="0"/>
        <v>64139929</v>
      </c>
      <c r="E16" s="8"/>
      <c r="F16" s="8"/>
      <c r="G16" s="8"/>
      <c r="H16" s="8"/>
      <c r="I16" s="8"/>
      <c r="J16" s="8"/>
      <c r="K16" s="9"/>
      <c r="L16" s="9"/>
      <c r="M16" s="5"/>
      <c r="N16" s="10"/>
    </row>
    <row r="17" spans="1:14" ht="32.25" customHeight="1" x14ac:dyDescent="0.2">
      <c r="A17" s="20" t="s">
        <v>39</v>
      </c>
      <c r="B17" s="16">
        <v>1</v>
      </c>
      <c r="C17" s="17">
        <f xml:space="preserve"> (40700000+2250000)*19%+( 40700000+2250000)</f>
        <v>51110500</v>
      </c>
      <c r="D17" s="8">
        <f t="shared" si="0"/>
        <v>51110500</v>
      </c>
      <c r="E17" s="3"/>
      <c r="F17" s="3"/>
      <c r="G17" s="3"/>
      <c r="H17" s="3"/>
      <c r="I17" s="3"/>
      <c r="J17" s="3"/>
      <c r="K17" s="4"/>
      <c r="L17" s="4"/>
      <c r="M17" s="5"/>
      <c r="N17" s="7"/>
    </row>
    <row r="18" spans="1:14" ht="25" customHeight="1" x14ac:dyDescent="0.2">
      <c r="A18" s="20" t="s">
        <v>40</v>
      </c>
      <c r="B18" s="16">
        <v>5</v>
      </c>
      <c r="C18" s="17">
        <f>(15000000*19%)+15000000</f>
        <v>17850000</v>
      </c>
      <c r="D18" s="8">
        <f t="shared" si="0"/>
        <v>89250000</v>
      </c>
      <c r="E18" s="3"/>
      <c r="F18" s="3"/>
      <c r="G18" s="3"/>
      <c r="H18" s="3"/>
      <c r="I18" s="3"/>
      <c r="J18" s="3"/>
      <c r="K18" s="4"/>
      <c r="L18" s="4"/>
      <c r="M18" s="5"/>
      <c r="N18" s="7"/>
    </row>
    <row r="19" spans="1:14" ht="25" customHeight="1" x14ac:dyDescent="0.2">
      <c r="A19" s="20" t="s">
        <v>41</v>
      </c>
      <c r="B19" s="16">
        <v>5</v>
      </c>
      <c r="C19" s="17">
        <f>(113000*19%)+113000</f>
        <v>134470</v>
      </c>
      <c r="D19" s="8">
        <f t="shared" si="0"/>
        <v>672350</v>
      </c>
      <c r="E19" s="3"/>
      <c r="F19" s="3"/>
      <c r="G19" s="3"/>
      <c r="H19" s="3"/>
      <c r="I19" s="3"/>
      <c r="J19" s="3"/>
      <c r="K19" s="4"/>
      <c r="L19" s="4"/>
      <c r="M19" s="5"/>
      <c r="N19" s="7"/>
    </row>
    <row r="20" spans="1:14" ht="36" customHeight="1" x14ac:dyDescent="0.2">
      <c r="A20" s="20" t="s">
        <v>42</v>
      </c>
      <c r="B20" s="16">
        <v>2</v>
      </c>
      <c r="C20" s="17">
        <f>(367500*19%)+367500</f>
        <v>437325</v>
      </c>
      <c r="D20" s="8">
        <f t="shared" si="0"/>
        <v>874650</v>
      </c>
      <c r="E20" s="3"/>
      <c r="F20" s="3"/>
      <c r="G20" s="3"/>
      <c r="H20" s="3"/>
      <c r="I20" s="3"/>
      <c r="J20" s="3"/>
      <c r="K20" s="4"/>
      <c r="L20" s="4"/>
      <c r="M20" s="5"/>
      <c r="N20" s="7"/>
    </row>
    <row r="21" spans="1:14" ht="34.5" customHeight="1" x14ac:dyDescent="0.2">
      <c r="A21" s="20" t="s">
        <v>43</v>
      </c>
      <c r="B21" s="16">
        <v>30</v>
      </c>
      <c r="C21" s="17">
        <f>(60100*19%)+60100</f>
        <v>71519</v>
      </c>
      <c r="D21" s="8">
        <f t="shared" si="0"/>
        <v>2145570</v>
      </c>
      <c r="E21" s="3"/>
      <c r="F21" s="3"/>
      <c r="G21" s="3"/>
      <c r="H21" s="3"/>
      <c r="I21" s="3"/>
      <c r="J21" s="3"/>
      <c r="K21" s="4"/>
      <c r="L21" s="4"/>
      <c r="M21" s="5"/>
      <c r="N21" s="7"/>
    </row>
    <row r="22" spans="1:14" ht="33.75" customHeight="1" x14ac:dyDescent="0.2">
      <c r="A22" s="20" t="s">
        <v>44</v>
      </c>
      <c r="B22" s="16">
        <v>5</v>
      </c>
      <c r="C22" s="17">
        <f>(129000*19%)+129000</f>
        <v>153510</v>
      </c>
      <c r="D22" s="8">
        <f t="shared" si="0"/>
        <v>767550</v>
      </c>
      <c r="E22" s="3"/>
      <c r="F22" s="3"/>
      <c r="G22" s="3"/>
      <c r="H22" s="3"/>
      <c r="I22" s="3"/>
      <c r="J22" s="3"/>
      <c r="K22" s="4"/>
      <c r="L22" s="4"/>
      <c r="M22" s="5"/>
      <c r="N22" s="7"/>
    </row>
    <row r="23" spans="1:14" ht="36" customHeight="1" x14ac:dyDescent="0.2">
      <c r="A23" s="20" t="s">
        <v>45</v>
      </c>
      <c r="B23" s="16">
        <v>3</v>
      </c>
      <c r="C23" s="17">
        <f>(233700*19%)+233700</f>
        <v>278103</v>
      </c>
      <c r="D23" s="8">
        <f t="shared" si="0"/>
        <v>834309</v>
      </c>
      <c r="E23" s="3"/>
      <c r="F23" s="3"/>
      <c r="G23" s="3"/>
      <c r="H23" s="3"/>
      <c r="I23" s="3"/>
      <c r="J23" s="3"/>
      <c r="K23" s="4"/>
      <c r="L23" s="4"/>
      <c r="M23" s="5"/>
      <c r="N23" s="7"/>
    </row>
    <row r="24" spans="1:14" s="11" customFormat="1" ht="42.75" customHeight="1" x14ac:dyDescent="0.2">
      <c r="A24" s="20" t="s">
        <v>46</v>
      </c>
      <c r="B24" s="16">
        <v>30</v>
      </c>
      <c r="C24" s="17">
        <f>(491000*19%)+491000</f>
        <v>584290</v>
      </c>
      <c r="D24" s="8">
        <f t="shared" si="0"/>
        <v>17528700</v>
      </c>
      <c r="E24" s="8"/>
      <c r="F24" s="8"/>
      <c r="G24" s="8"/>
      <c r="H24" s="8"/>
      <c r="I24" s="8"/>
      <c r="J24" s="8"/>
      <c r="K24" s="9"/>
      <c r="L24" s="9"/>
      <c r="M24" s="5"/>
      <c r="N24" s="10"/>
    </row>
    <row r="25" spans="1:14" s="11" customFormat="1" ht="32.25" customHeight="1" x14ac:dyDescent="0.2">
      <c r="A25" s="20" t="s">
        <v>47</v>
      </c>
      <c r="B25" s="16">
        <v>30</v>
      </c>
      <c r="C25" s="17">
        <f>(548000*19%)+548000</f>
        <v>652120</v>
      </c>
      <c r="D25" s="8">
        <f t="shared" si="0"/>
        <v>19563600</v>
      </c>
      <c r="E25" s="12"/>
      <c r="F25" s="12"/>
      <c r="G25" s="12"/>
      <c r="H25" s="12"/>
      <c r="I25" s="12"/>
      <c r="J25" s="12"/>
      <c r="K25" s="9"/>
      <c r="L25" s="9"/>
      <c r="M25" s="5"/>
      <c r="N25" s="10"/>
    </row>
    <row r="26" spans="1:14" ht="33.75" customHeight="1" x14ac:dyDescent="0.2">
      <c r="A26" s="20" t="s">
        <v>48</v>
      </c>
      <c r="B26" s="16">
        <v>6</v>
      </c>
      <c r="C26" s="17">
        <f>(4850000*19%)+4850000</f>
        <v>5771500</v>
      </c>
      <c r="D26" s="8">
        <f t="shared" si="0"/>
        <v>34629000</v>
      </c>
      <c r="E26" s="13"/>
      <c r="F26" s="13"/>
      <c r="G26" s="13"/>
      <c r="H26" s="13"/>
      <c r="I26" s="13"/>
      <c r="J26" s="13"/>
      <c r="K26" s="14"/>
      <c r="L26" s="14"/>
      <c r="M26" s="13"/>
      <c r="N26" s="7"/>
    </row>
    <row r="27" spans="1:14" ht="53.25" customHeight="1" x14ac:dyDescent="0.2">
      <c r="A27" s="20" t="s">
        <v>49</v>
      </c>
      <c r="B27" s="16">
        <v>7</v>
      </c>
      <c r="C27" s="17">
        <f>(23650000*19%)+23650000</f>
        <v>28143500</v>
      </c>
      <c r="D27" s="8">
        <f t="shared" si="0"/>
        <v>197004500</v>
      </c>
      <c r="E27" s="13"/>
      <c r="F27" s="13"/>
      <c r="G27" s="13"/>
      <c r="H27" s="13"/>
      <c r="I27" s="13"/>
      <c r="J27" s="13"/>
      <c r="K27" s="14"/>
      <c r="L27" s="14"/>
      <c r="M27" s="13"/>
      <c r="N27" s="7"/>
    </row>
    <row r="28" spans="1:14" ht="17" x14ac:dyDescent="0.2">
      <c r="A28" s="20" t="s">
        <v>50</v>
      </c>
      <c r="B28" s="16">
        <v>1</v>
      </c>
      <c r="C28" s="17">
        <f>(41625000*19%)+41625000</f>
        <v>49533750</v>
      </c>
      <c r="D28" s="8">
        <f t="shared" si="0"/>
        <v>49533750</v>
      </c>
      <c r="E28" s="7"/>
      <c r="F28" s="7"/>
      <c r="G28" s="7"/>
      <c r="H28" s="7"/>
      <c r="I28" s="7"/>
      <c r="J28" s="7"/>
      <c r="K28" s="15"/>
      <c r="L28" s="15"/>
      <c r="M28" s="15"/>
      <c r="N28" s="7"/>
    </row>
    <row r="29" spans="1:14" ht="17" x14ac:dyDescent="0.2">
      <c r="A29" s="20" t="s">
        <v>51</v>
      </c>
      <c r="B29" s="16">
        <v>2</v>
      </c>
      <c r="C29" s="17">
        <f>(14500000*19%)+14500000</f>
        <v>17255000</v>
      </c>
      <c r="D29" s="8">
        <f t="shared" si="0"/>
        <v>34510000</v>
      </c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30" customHeight="1" x14ac:dyDescent="0.2">
      <c r="A30" s="20" t="s">
        <v>52</v>
      </c>
      <c r="B30" s="16">
        <v>1</v>
      </c>
      <c r="C30" s="17">
        <f>(11300000*19%)+11300000</f>
        <v>13447000</v>
      </c>
      <c r="D30" s="8">
        <f t="shared" si="0"/>
        <v>13447000</v>
      </c>
      <c r="E30" s="7"/>
      <c r="F30" s="7"/>
      <c r="G30" s="7"/>
      <c r="H30" s="7"/>
      <c r="I30" s="7"/>
      <c r="J30" s="7"/>
      <c r="K30" s="15"/>
      <c r="L30" s="15"/>
      <c r="M30" s="7"/>
      <c r="N30" s="7"/>
    </row>
    <row r="31" spans="1:14" ht="34" x14ac:dyDescent="0.2">
      <c r="A31" s="20" t="s">
        <v>53</v>
      </c>
      <c r="B31" s="16">
        <v>1</v>
      </c>
      <c r="C31" s="17">
        <f>(13850000*19%)+13850000</f>
        <v>16481500</v>
      </c>
      <c r="D31" s="8">
        <f t="shared" si="0"/>
        <v>16481500</v>
      </c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51" x14ac:dyDescent="0.2">
      <c r="A32" s="20" t="s">
        <v>54</v>
      </c>
      <c r="B32" s="16">
        <v>4</v>
      </c>
      <c r="C32" s="17">
        <f>(8450000*19%)+8450000</f>
        <v>10055500</v>
      </c>
      <c r="D32" s="8">
        <f t="shared" si="0"/>
        <v>40222000</v>
      </c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4" x14ac:dyDescent="0.2">
      <c r="D33" s="18">
        <f>SUM(D6:D32)</f>
        <v>743502718</v>
      </c>
    </row>
    <row r="35" spans="1:4" x14ac:dyDescent="0.2">
      <c r="A35" s="23" t="s">
        <v>9</v>
      </c>
    </row>
    <row r="36" spans="1:4" x14ac:dyDescent="0.2">
      <c r="A36" s="23" t="s">
        <v>10</v>
      </c>
    </row>
    <row r="37" spans="1:4" x14ac:dyDescent="0.2">
      <c r="A37" s="23" t="s">
        <v>11</v>
      </c>
    </row>
    <row r="38" spans="1:4" x14ac:dyDescent="0.2">
      <c r="A38" s="23" t="s">
        <v>12</v>
      </c>
    </row>
    <row r="39" spans="1:4" x14ac:dyDescent="0.2">
      <c r="A39" s="23" t="s">
        <v>13</v>
      </c>
    </row>
    <row r="40" spans="1:4" x14ac:dyDescent="0.2">
      <c r="A40" s="23" t="s">
        <v>14</v>
      </c>
    </row>
    <row r="41" spans="1:4" x14ac:dyDescent="0.2">
      <c r="A41" s="23" t="s">
        <v>15</v>
      </c>
    </row>
    <row r="42" spans="1:4" x14ac:dyDescent="0.2">
      <c r="A42" s="23" t="s">
        <v>16</v>
      </c>
    </row>
    <row r="43" spans="1:4" x14ac:dyDescent="0.2">
      <c r="A43" s="23" t="s">
        <v>17</v>
      </c>
    </row>
    <row r="44" spans="1:4" x14ac:dyDescent="0.2">
      <c r="A44" s="23" t="s">
        <v>18</v>
      </c>
    </row>
    <row r="45" spans="1:4" x14ac:dyDescent="0.2">
      <c r="A45" s="23"/>
    </row>
    <row r="46" spans="1:4" x14ac:dyDescent="0.2">
      <c r="A46" s="23" t="s">
        <v>19</v>
      </c>
    </row>
    <row r="47" spans="1:4" x14ac:dyDescent="0.2">
      <c r="A47" s="22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60" spans="1:1" x14ac:dyDescent="0.2">
      <c r="A60" s="1"/>
    </row>
  </sheetData>
  <mergeCells count="4">
    <mergeCell ref="A4:N4"/>
    <mergeCell ref="A1:N1"/>
    <mergeCell ref="A2:N2"/>
    <mergeCell ref="A3:N3"/>
  </mergeCells>
  <pageMargins left="0.31496062992125984" right="0.31496062992125984" top="0.35433070866141736" bottom="0.15748031496062992" header="0.31496062992125984" footer="0.31496062992125984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28"/>
    </sheetView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Consulta externa</vt:lpstr>
      <vt:lpstr>Hoja1</vt:lpstr>
      <vt:lpstr>'Consulta externa'!Área_de_impresión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María Ballesteros Lora</dc:creator>
  <cp:lastModifiedBy>Cristina Arismendy</cp:lastModifiedBy>
  <dcterms:created xsi:type="dcterms:W3CDTF">2023-03-23T20:18:10Z</dcterms:created>
  <dcterms:modified xsi:type="dcterms:W3CDTF">2023-04-13T00:40:44Z</dcterms:modified>
</cp:coreProperties>
</file>