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SEGUIMIENTO PLANES DE MEJORAMIENTO DE LAS AUDITORIAS CON ENFOQUE EN RIESGOS 2019-2023\"/>
    </mc:Choice>
  </mc:AlternateContent>
  <bookViews>
    <workbookView xWindow="0" yWindow="0" windowWidth="28800" windowHeight="12228" firstSheet="2" activeTab="13"/>
  </bookViews>
  <sheets>
    <sheet name="Auditorías Riesgos 05-01-2024" sheetId="10" state="hidden" r:id="rId1"/>
    <sheet name="Auditorías Riesgos 10012024" sheetId="15" state="hidden" r:id="rId2"/>
    <sheet name="Auditorías Riesgos 2019-2023" sheetId="4" r:id="rId3"/>
    <sheet name="Hoja1" sheetId="17" state="hidden" r:id="rId4"/>
    <sheet name="Hoja2" sheetId="18" state="hidden" r:id="rId5"/>
    <sheet name="PROCESOS" sheetId="3" state="hidden" r:id="rId6"/>
    <sheet name="UNIDADES ADMINISTRATIVAS" sheetId="9" state="hidden" r:id="rId7"/>
    <sheet name="Consolidado por Año 05-01-2024" sheetId="11" state="hidden" r:id="rId8"/>
    <sheet name="Consolidado por Año 10012024" sheetId="13" state="hidden" r:id="rId9"/>
    <sheet name="Consolidado por Año" sheetId="2" r:id="rId10"/>
    <sheet name="Consolidado por Pr. 05-01-2024" sheetId="12" state="hidden" r:id="rId11"/>
    <sheet name="Consolidado por Pr. 10012024" sheetId="14" state="hidden" r:id="rId12"/>
    <sheet name="Consolidado por Proceso" sheetId="5" r:id="rId13"/>
    <sheet name="Consolidado por Unidad Adm." sheetId="19" r:id="rId14"/>
    <sheet name="Tabla para informe" sheetId="16"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0" hidden="1">'Auditorías Riesgos 05-01-2024'!$B$4:$X$215</definedName>
    <definedName name="_xlnm._FilterDatabase" localSheetId="1" hidden="1">'Auditorías Riesgos 10012024'!$B$4:$X$215</definedName>
    <definedName name="_xlnm._FilterDatabase" localSheetId="2" hidden="1">'Auditorías Riesgos 2019-2023'!$B$4:$X$215</definedName>
    <definedName name="_xlnm._FilterDatabase" localSheetId="3" hidden="1">Hoja1!$B$1:$G$84</definedName>
    <definedName name="activos" localSheetId="0">#REF!</definedName>
    <definedName name="activos" localSheetId="1">#REF!</definedName>
    <definedName name="activos" localSheetId="2">#REF!</definedName>
    <definedName name="activos" localSheetId="9">#REF!</definedName>
    <definedName name="activos" localSheetId="7">#REF!</definedName>
    <definedName name="activos" localSheetId="8">#REF!</definedName>
    <definedName name="activos" localSheetId="10">#REF!</definedName>
    <definedName name="activos" localSheetId="11">#REF!</definedName>
    <definedName name="activos" localSheetId="12">#REF!</definedName>
    <definedName name="activos" localSheetId="13">#REF!</definedName>
    <definedName name="activos" localSheetId="5">#REF!</definedName>
    <definedName name="activos" localSheetId="14">#REF!</definedName>
    <definedName name="activos" localSheetId="6">#REF!</definedName>
    <definedName name="activos">#REF!</definedName>
    <definedName name="AGUAS99" localSheetId="0">#REF!</definedName>
    <definedName name="AGUAS99" localSheetId="1">#REF!</definedName>
    <definedName name="AGUAS99" localSheetId="2">#REF!</definedName>
    <definedName name="AGUAS99" localSheetId="9">#REF!</definedName>
    <definedName name="AGUAS99" localSheetId="7">#REF!</definedName>
    <definedName name="AGUAS99" localSheetId="8">#REF!</definedName>
    <definedName name="AGUAS99" localSheetId="10">#REF!</definedName>
    <definedName name="AGUAS99" localSheetId="11">#REF!</definedName>
    <definedName name="AGUAS99" localSheetId="12">#REF!</definedName>
    <definedName name="AGUAS99" localSheetId="13">#REF!</definedName>
    <definedName name="AGUAS99" localSheetId="5">#REF!</definedName>
    <definedName name="AGUAS99" localSheetId="14">#REF!</definedName>
    <definedName name="AGUAS99" localSheetId="6">#REF!</definedName>
    <definedName name="AGUAS99">#REF!</definedName>
    <definedName name="_xlnm.Print_Area" localSheetId="0">#REF!</definedName>
    <definedName name="_xlnm.Print_Area" localSheetId="1">#REF!</definedName>
    <definedName name="_xlnm.Print_Area" localSheetId="2">#REF!</definedName>
    <definedName name="_xlnm.Print_Area" localSheetId="9">#REF!</definedName>
    <definedName name="_xlnm.Print_Area" localSheetId="7">#REF!</definedName>
    <definedName name="_xlnm.Print_Area" localSheetId="8">#REF!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5">#REF!</definedName>
    <definedName name="_xlnm.Print_Area" localSheetId="14">#REF!</definedName>
    <definedName name="_xlnm.Print_Area" localSheetId="6">#REF!</definedName>
    <definedName name="_xlnm.Print_Area">#REF!</definedName>
    <definedName name="ATRIBUTOS_CALIDAD" localSheetId="0">#REF!</definedName>
    <definedName name="ATRIBUTOS_CALIDAD" localSheetId="1">#REF!</definedName>
    <definedName name="ATRIBUTOS_CALIDAD" localSheetId="2">#REF!</definedName>
    <definedName name="ATRIBUTOS_CALIDAD" localSheetId="9">#REF!</definedName>
    <definedName name="ATRIBUTOS_CALIDAD" localSheetId="7">#REF!</definedName>
    <definedName name="ATRIBUTOS_CALIDAD" localSheetId="8">#REF!</definedName>
    <definedName name="ATRIBUTOS_CALIDAD" localSheetId="10">#REF!</definedName>
    <definedName name="ATRIBUTOS_CALIDAD" localSheetId="11">#REF!</definedName>
    <definedName name="ATRIBUTOS_CALIDAD" localSheetId="12">#REF!</definedName>
    <definedName name="ATRIBUTOS_CALIDAD" localSheetId="13">#REF!</definedName>
    <definedName name="ATRIBUTOS_CALIDAD" localSheetId="5">#REF!</definedName>
    <definedName name="ATRIBUTOS_CALIDAD" localSheetId="14">#REF!</definedName>
    <definedName name="ATRIBUTOS_CALIDAD" localSheetId="6">#REF!</definedName>
    <definedName name="ATRIBUTOS_CALIDAD">#REF!</definedName>
    <definedName name="BIDAGUAS" localSheetId="0">#REF!</definedName>
    <definedName name="BIDAGUAS" localSheetId="1">#REF!</definedName>
    <definedName name="BIDAGUAS" localSheetId="2">#REF!</definedName>
    <definedName name="BIDAGUAS" localSheetId="9">#REF!</definedName>
    <definedName name="BIDAGUAS" localSheetId="7">#REF!</definedName>
    <definedName name="BIDAGUAS" localSheetId="8">#REF!</definedName>
    <definedName name="BIDAGUAS" localSheetId="10">#REF!</definedName>
    <definedName name="BIDAGUAS" localSheetId="11">#REF!</definedName>
    <definedName name="BIDAGUAS" localSheetId="12">#REF!</definedName>
    <definedName name="BIDAGUAS" localSheetId="13">#REF!</definedName>
    <definedName name="BIDAGUAS" localSheetId="5">#REF!</definedName>
    <definedName name="BIDAGUAS" localSheetId="14">#REF!</definedName>
    <definedName name="BIDAGUAS" localSheetId="6">#REF!</definedName>
    <definedName name="BIDAGUAS">#REF!</definedName>
    <definedName name="CDEC">'[1]ENER-SEPT'!$A$1:$A$1494</definedName>
    <definedName name="CODIGO">[1]ACTIVIDADES!$A$2:$A$8</definedName>
    <definedName name="concep" localSheetId="0">#REF!</definedName>
    <definedName name="concep" localSheetId="1">#REF!</definedName>
    <definedName name="concep" localSheetId="2">#REF!</definedName>
    <definedName name="concep" localSheetId="9">#REF!</definedName>
    <definedName name="concep" localSheetId="7">#REF!</definedName>
    <definedName name="concep" localSheetId="8">#REF!</definedName>
    <definedName name="concep" localSheetId="10">#REF!</definedName>
    <definedName name="concep" localSheetId="11">#REF!</definedName>
    <definedName name="concep" localSheetId="12">#REF!</definedName>
    <definedName name="concep" localSheetId="13">#REF!</definedName>
    <definedName name="concep" localSheetId="5">#REF!</definedName>
    <definedName name="concep" localSheetId="14">#REF!</definedName>
    <definedName name="concep" localSheetId="6">#REF!</definedName>
    <definedName name="concep">#REF!</definedName>
    <definedName name="CONSODETA" localSheetId="0">#REF!,#REF!,#REF!,#REF!,#REF!,#REF!</definedName>
    <definedName name="CONSODETA" localSheetId="1">#REF!,#REF!,#REF!,#REF!,#REF!,#REF!</definedName>
    <definedName name="CONSODETA" localSheetId="2">#REF!,#REF!,#REF!,#REF!,#REF!,#REF!</definedName>
    <definedName name="CONSODETA" localSheetId="9">#REF!,#REF!,#REF!,#REF!,#REF!,#REF!</definedName>
    <definedName name="CONSODETA" localSheetId="7">#REF!,#REF!,#REF!,#REF!,#REF!,#REF!</definedName>
    <definedName name="CONSODETA" localSheetId="8">#REF!,#REF!,#REF!,#REF!,#REF!,#REF!</definedName>
    <definedName name="CONSODETA" localSheetId="10">#REF!,#REF!,#REF!,#REF!,#REF!,#REF!</definedName>
    <definedName name="CONSODETA" localSheetId="11">#REF!,#REF!,#REF!,#REF!,#REF!,#REF!</definedName>
    <definedName name="CONSODETA" localSheetId="12">#REF!,#REF!,#REF!,#REF!,#REF!,#REF!</definedName>
    <definedName name="CONSODETA" localSheetId="13">#REF!,#REF!,#REF!,#REF!,#REF!,#REF!</definedName>
    <definedName name="CONSODETA" localSheetId="5">#REF!,#REF!,#REF!,#REF!,#REF!,#REF!</definedName>
    <definedName name="CONSODETA" localSheetId="14">#REF!,#REF!,#REF!,#REF!,#REF!,#REF!</definedName>
    <definedName name="CONSODETA" localSheetId="6">#REF!,#REF!,#REF!,#REF!,#REF!,#REF!</definedName>
    <definedName name="CONSODETA">#REF!,#REF!,#REF!,#REF!,#REF!,#REF!</definedName>
    <definedName name="consolidado" localSheetId="0">#REF!,#REF!,#REF!</definedName>
    <definedName name="consolidado" localSheetId="1">#REF!,#REF!,#REF!</definedName>
    <definedName name="consolidado" localSheetId="2">#REF!,#REF!,#REF!</definedName>
    <definedName name="consolidado" localSheetId="9">#REF!,#REF!,#REF!</definedName>
    <definedName name="consolidado" localSheetId="7">#REF!,#REF!,#REF!</definedName>
    <definedName name="consolidado" localSheetId="8">#REF!,#REF!,#REF!</definedName>
    <definedName name="consolidado" localSheetId="10">#REF!,#REF!,#REF!</definedName>
    <definedName name="consolidado" localSheetId="11">#REF!,#REF!,#REF!</definedName>
    <definedName name="consolidado" localSheetId="12">#REF!,#REF!,#REF!</definedName>
    <definedName name="consolidado" localSheetId="13">#REF!,#REF!,#REF!</definedName>
    <definedName name="consolidado" localSheetId="5">#REF!,#REF!,#REF!</definedName>
    <definedName name="consolidado" localSheetId="14">#REF!,#REF!,#REF!</definedName>
    <definedName name="consolidado" localSheetId="6">#REF!,#REF!,#REF!</definedName>
    <definedName name="consolidado">#REF!,#REF!,#REF!</definedName>
    <definedName name="CUMPLIMIENTO" localSheetId="0">#REF!</definedName>
    <definedName name="CUMPLIMIENTO" localSheetId="1">#REF!</definedName>
    <definedName name="CUMPLIMIENTO" localSheetId="2">#REF!</definedName>
    <definedName name="CUMPLIMIENTO" localSheetId="9">#REF!</definedName>
    <definedName name="CUMPLIMIENTO" localSheetId="7">#REF!</definedName>
    <definedName name="CUMPLIMIENTO" localSheetId="8">#REF!</definedName>
    <definedName name="CUMPLIMIENTO" localSheetId="10">#REF!</definedName>
    <definedName name="CUMPLIMIENTO" localSheetId="11">#REF!</definedName>
    <definedName name="CUMPLIMIENTO" localSheetId="12">#REF!</definedName>
    <definedName name="CUMPLIMIENTO" localSheetId="13">#REF!</definedName>
    <definedName name="CUMPLIMIENTO" localSheetId="5">#REF!</definedName>
    <definedName name="CUMPLIMIENTO" localSheetId="14">#REF!</definedName>
    <definedName name="CUMPLIMIENTO" localSheetId="6">#REF!</definedName>
    <definedName name="CUMPLIMIENTO">#REF!</definedName>
    <definedName name="DEPARTAMENTO">'[2]fORMATO 20.1'!$AX$8:$AX$39</definedName>
    <definedName name="deuda99" localSheetId="0">#REF!,#REF!,#REF!,#REF!</definedName>
    <definedName name="deuda99" localSheetId="1">#REF!,#REF!,#REF!,#REF!</definedName>
    <definedName name="deuda99" localSheetId="2">#REF!,#REF!,#REF!,#REF!</definedName>
    <definedName name="deuda99" localSheetId="9">#REF!,#REF!,#REF!,#REF!</definedName>
    <definedName name="deuda99" localSheetId="7">#REF!,#REF!,#REF!,#REF!</definedName>
    <definedName name="deuda99" localSheetId="8">#REF!,#REF!,#REF!,#REF!</definedName>
    <definedName name="deuda99" localSheetId="10">#REF!,#REF!,#REF!,#REF!</definedName>
    <definedName name="deuda99" localSheetId="11">#REF!,#REF!,#REF!,#REF!</definedName>
    <definedName name="deuda99" localSheetId="12">#REF!,#REF!,#REF!,#REF!</definedName>
    <definedName name="deuda99" localSheetId="13">#REF!,#REF!,#REF!,#REF!</definedName>
    <definedName name="deuda99" localSheetId="5">#REF!,#REF!,#REF!,#REF!</definedName>
    <definedName name="deuda99" localSheetId="14">#REF!,#REF!,#REF!,#REF!</definedName>
    <definedName name="deuda99" localSheetId="6">#REF!,#REF!,#REF!,#REF!</definedName>
    <definedName name="deuda99">#REF!,#REF!,#REF!,#REF!</definedName>
    <definedName name="deudamensual" localSheetId="0">#REF!,#REF!,#REF!</definedName>
    <definedName name="deudamensual" localSheetId="1">#REF!,#REF!,#REF!</definedName>
    <definedName name="deudamensual" localSheetId="2">#REF!,#REF!,#REF!</definedName>
    <definedName name="deudamensual" localSheetId="9">#REF!,#REF!,#REF!</definedName>
    <definedName name="deudamensual" localSheetId="7">#REF!,#REF!,#REF!</definedName>
    <definedName name="deudamensual" localSheetId="8">#REF!,#REF!,#REF!</definedName>
    <definedName name="deudamensual" localSheetId="10">#REF!,#REF!,#REF!</definedName>
    <definedName name="deudamensual" localSheetId="11">#REF!,#REF!,#REF!</definedName>
    <definedName name="deudamensual" localSheetId="12">#REF!,#REF!,#REF!</definedName>
    <definedName name="deudamensual" localSheetId="13">#REF!,#REF!,#REF!</definedName>
    <definedName name="deudamensual" localSheetId="5">#REF!,#REF!,#REF!</definedName>
    <definedName name="deudamensual" localSheetId="14">#REF!,#REF!,#REF!</definedName>
    <definedName name="deudamensual" localSheetId="6">#REF!,#REF!,#REF!</definedName>
    <definedName name="deudamensual">#REF!,#REF!,#REF!</definedName>
    <definedName name="EQUIPOS_DE_MEJORA">[3]Hoja2!$G$2:$G$17</definedName>
    <definedName name="ESTANDAR_PRIORIZADO" localSheetId="0">#REF!</definedName>
    <definedName name="ESTANDAR_PRIORIZADO" localSheetId="1">#REF!</definedName>
    <definedName name="ESTANDAR_PRIORIZADO" localSheetId="2">#REF!</definedName>
    <definedName name="ESTANDAR_PRIORIZADO" localSheetId="9">#REF!</definedName>
    <definedName name="ESTANDAR_PRIORIZADO" localSheetId="7">#REF!</definedName>
    <definedName name="ESTANDAR_PRIORIZADO" localSheetId="8">#REF!</definedName>
    <definedName name="ESTANDAR_PRIORIZADO" localSheetId="10">#REF!</definedName>
    <definedName name="ESTANDAR_PRIORIZADO" localSheetId="11">#REF!</definedName>
    <definedName name="ESTANDAR_PRIORIZADO" localSheetId="12">#REF!</definedName>
    <definedName name="ESTANDAR_PRIORIZADO" localSheetId="13">#REF!</definedName>
    <definedName name="ESTANDAR_PRIORIZADO" localSheetId="5">#REF!</definedName>
    <definedName name="ESTANDAR_PRIORIZADO" localSheetId="14">#REF!</definedName>
    <definedName name="ESTANDAR_PRIORIZADO" localSheetId="6">#REF!</definedName>
    <definedName name="ESTANDAR_PRIORIZADO">#REF!</definedName>
    <definedName name="Excel_BuiltIn_Print_Area" localSheetId="0">#REF!</definedName>
    <definedName name="Excel_BuiltIn_Print_Area" localSheetId="1">#REF!</definedName>
    <definedName name="Excel_BuiltIn_Print_Area" localSheetId="2">#REF!</definedName>
    <definedName name="Excel_BuiltIn_Print_Area" localSheetId="9">#REF!</definedName>
    <definedName name="Excel_BuiltIn_Print_Area" localSheetId="7">#REF!</definedName>
    <definedName name="Excel_BuiltIn_Print_Area" localSheetId="8">#REF!</definedName>
    <definedName name="Excel_BuiltIn_Print_Area" localSheetId="10">#REF!</definedName>
    <definedName name="Excel_BuiltIn_Print_Area" localSheetId="11">#REF!</definedName>
    <definedName name="Excel_BuiltIn_Print_Area" localSheetId="12">#REF!</definedName>
    <definedName name="Excel_BuiltIn_Print_Area" localSheetId="13">#REF!</definedName>
    <definedName name="Excel_BuiltIn_Print_Area" localSheetId="5">#REF!</definedName>
    <definedName name="Excel_BuiltIn_Print_Area" localSheetId="14">#REF!</definedName>
    <definedName name="Excel_BuiltIn_Print_Area" localSheetId="6">#REF!</definedName>
    <definedName name="Excel_BuiltIn_Print_Area">#REF!</definedName>
    <definedName name="FECHA2012">[4]FECHA!$A:$IV</definedName>
    <definedName name="GRUPOS_DE_MEJORA" localSheetId="0">[5]Tablas!$N$2:$N$15</definedName>
    <definedName name="GRUPOS_DE_MEJORA" localSheetId="1">[5]Tablas!$N$2:$N$15</definedName>
    <definedName name="GRUPOS_DE_MEJORA" localSheetId="2">[5]Tablas!$N$2:$N$15</definedName>
    <definedName name="GRUPOS_DE_MEJORA">[6]Tablas!$N$2:$N$15</definedName>
    <definedName name="iiiiiii">'[7]OCT-DIC'!$B$1:$B$1404</definedName>
    <definedName name="INGADMON" localSheetId="0">#REF!</definedName>
    <definedName name="INGADMON" localSheetId="1">#REF!</definedName>
    <definedName name="INGADMON" localSheetId="2">#REF!</definedName>
    <definedName name="INGADMON" localSheetId="9">#REF!</definedName>
    <definedName name="INGADMON" localSheetId="7">#REF!</definedName>
    <definedName name="INGADMON" localSheetId="8">#REF!</definedName>
    <definedName name="INGADMON" localSheetId="10">#REF!</definedName>
    <definedName name="INGADMON" localSheetId="11">#REF!</definedName>
    <definedName name="INGADMON" localSheetId="12">#REF!</definedName>
    <definedName name="INGADMON" localSheetId="13">#REF!</definedName>
    <definedName name="INGADMON" localSheetId="5">#REF!</definedName>
    <definedName name="INGADMON" localSheetId="14">#REF!</definedName>
    <definedName name="INGADMON" localSheetId="6">#REF!</definedName>
    <definedName name="INGADMON">#REF!</definedName>
    <definedName name="ll">'[1]ENER-SEPT'!$B$1:$B$1494</definedName>
    <definedName name="NOMCDEA">'[1]OCT-DIC'!$B$1:$B$1404</definedName>
    <definedName name="NOMCDEC">'[1]ENER-SEPT'!$B$1:$B$1494</definedName>
    <definedName name="ñ" localSheetId="0">#REF!</definedName>
    <definedName name="ñ" localSheetId="1">#REF!</definedName>
    <definedName name="ñ" localSheetId="2">#REF!</definedName>
    <definedName name="ñ" localSheetId="9">#REF!</definedName>
    <definedName name="ñ" localSheetId="7">#REF!</definedName>
    <definedName name="ñ" localSheetId="8">#REF!</definedName>
    <definedName name="ñ" localSheetId="10">#REF!</definedName>
    <definedName name="ñ" localSheetId="11">#REF!</definedName>
    <definedName name="ñ" localSheetId="12">#REF!</definedName>
    <definedName name="ñ" localSheetId="13">#REF!</definedName>
    <definedName name="ñ" localSheetId="5">#REF!</definedName>
    <definedName name="ñ" localSheetId="14">#REF!</definedName>
    <definedName name="ñ" localSheetId="6">#REF!</definedName>
    <definedName name="ñ">#REF!</definedName>
    <definedName name="planfures" localSheetId="0">#REF!</definedName>
    <definedName name="planfures" localSheetId="1">#REF!</definedName>
    <definedName name="planfures" localSheetId="2">#REF!</definedName>
    <definedName name="planfures" localSheetId="9">#REF!</definedName>
    <definedName name="planfures" localSheetId="7">#REF!</definedName>
    <definedName name="planfures" localSheetId="8">#REF!</definedName>
    <definedName name="planfures" localSheetId="10">#REF!</definedName>
    <definedName name="planfures" localSheetId="11">#REF!</definedName>
    <definedName name="planfures" localSheetId="12">#REF!</definedName>
    <definedName name="planfures" localSheetId="13">#REF!</definedName>
    <definedName name="planfures" localSheetId="5">#REF!</definedName>
    <definedName name="planfures" localSheetId="14">#REF!</definedName>
    <definedName name="planfures" localSheetId="6">#REF!</definedName>
    <definedName name="planfures">#REF!</definedName>
    <definedName name="PMIAGUAS" localSheetId="0">#REF!</definedName>
    <definedName name="PMIAGUAS" localSheetId="1">#REF!</definedName>
    <definedName name="PMIAGUAS" localSheetId="2">#REF!</definedName>
    <definedName name="PMIAGUAS" localSheetId="9">#REF!</definedName>
    <definedName name="PMIAGUAS" localSheetId="7">#REF!</definedName>
    <definedName name="PMIAGUAS" localSheetId="8">#REF!</definedName>
    <definedName name="PMIAGUAS" localSheetId="10">#REF!</definedName>
    <definedName name="PMIAGUAS" localSheetId="11">#REF!</definedName>
    <definedName name="PMIAGUAS" localSheetId="12">#REF!</definedName>
    <definedName name="PMIAGUAS" localSheetId="13">#REF!</definedName>
    <definedName name="PMIAGUAS" localSheetId="5">#REF!</definedName>
    <definedName name="PMIAGUAS" localSheetId="14">#REF!</definedName>
    <definedName name="PMIAGUAS" localSheetId="6">#REF!</definedName>
    <definedName name="PMIAGUAS">#REF!</definedName>
    <definedName name="PMICORPO" localSheetId="0">#REF!,#REF!,#REF!</definedName>
    <definedName name="PMICORPO" localSheetId="1">#REF!,#REF!,#REF!</definedName>
    <definedName name="PMICORPO" localSheetId="2">#REF!,#REF!,#REF!</definedName>
    <definedName name="PMICORPO" localSheetId="9">#REF!,#REF!,#REF!</definedName>
    <definedName name="PMICORPO" localSheetId="7">#REF!,#REF!,#REF!</definedName>
    <definedName name="PMICORPO" localSheetId="8">#REF!,#REF!,#REF!</definedName>
    <definedName name="PMICORPO" localSheetId="10">#REF!,#REF!,#REF!</definedName>
    <definedName name="PMICORPO" localSheetId="11">#REF!,#REF!,#REF!</definedName>
    <definedName name="PMICORPO" localSheetId="12">#REF!,#REF!,#REF!</definedName>
    <definedName name="PMICORPO" localSheetId="13">#REF!,#REF!,#REF!</definedName>
    <definedName name="PMICORPO" localSheetId="5">#REF!,#REF!,#REF!</definedName>
    <definedName name="PMICORPO" localSheetId="14">#REF!,#REF!,#REF!</definedName>
    <definedName name="PMICORPO" localSheetId="6">#REF!,#REF!,#REF!</definedName>
    <definedName name="PMICORPO">#REF!,#REF!,#REF!</definedName>
    <definedName name="PROCESOS">[3]Hoja2!$B$2:$B$22</definedName>
    <definedName name="TEMAS" localSheetId="0">#REF!</definedName>
    <definedName name="TEMAS" localSheetId="1">#REF!</definedName>
    <definedName name="TEMAS" localSheetId="2">#REF!</definedName>
    <definedName name="TEMAS" localSheetId="9">#REF!</definedName>
    <definedName name="TEMAS" localSheetId="7">#REF!</definedName>
    <definedName name="TEMAS" localSheetId="8">#REF!</definedName>
    <definedName name="TEMAS" localSheetId="10">#REF!</definedName>
    <definedName name="TEMAS" localSheetId="11">#REF!</definedName>
    <definedName name="TEMAS" localSheetId="12">#REF!</definedName>
    <definedName name="TEMAS" localSheetId="13">#REF!</definedName>
    <definedName name="TEMAS" localSheetId="5">#REF!</definedName>
    <definedName name="TEMAS" localSheetId="14">#REF!</definedName>
    <definedName name="TEMAS" localSheetId="6">#REF!</definedName>
    <definedName name="TEMAS">#REF!</definedName>
    <definedName name="TIBU" localSheetId="0">#REF!</definedName>
    <definedName name="TIBU" localSheetId="1">#REF!</definedName>
    <definedName name="TIBU" localSheetId="2">#REF!</definedName>
    <definedName name="TIBU" localSheetId="9">#REF!</definedName>
    <definedName name="TIBU" localSheetId="7">#REF!</definedName>
    <definedName name="TIBU" localSheetId="8">#REF!</definedName>
    <definedName name="TIBU" localSheetId="10">#REF!</definedName>
    <definedName name="TIBU" localSheetId="11">#REF!</definedName>
    <definedName name="TIBU" localSheetId="12">#REF!</definedName>
    <definedName name="TIBU" localSheetId="13">#REF!</definedName>
    <definedName name="TIBU" localSheetId="5">#REF!</definedName>
    <definedName name="TIBU" localSheetId="14">#REF!</definedName>
    <definedName name="TIBU" localSheetId="6">#REF!</definedName>
    <definedName name="TIBU">#REF!</definedName>
    <definedName name="UNIDADES_ADTIVAS" localSheetId="0">#REF!</definedName>
    <definedName name="UNIDADES_ADTIVAS" localSheetId="1">#REF!</definedName>
    <definedName name="UNIDADES_ADTIVAS" localSheetId="2">#REF!</definedName>
    <definedName name="UNIDADES_ADTIVAS" localSheetId="9">#REF!</definedName>
    <definedName name="UNIDADES_ADTIVAS" localSheetId="7">#REF!</definedName>
    <definedName name="UNIDADES_ADTIVAS" localSheetId="8">#REF!</definedName>
    <definedName name="UNIDADES_ADTIVAS" localSheetId="10">#REF!</definedName>
    <definedName name="UNIDADES_ADTIVAS" localSheetId="11">#REF!</definedName>
    <definedName name="UNIDADES_ADTIVAS" localSheetId="12">#REF!</definedName>
    <definedName name="UNIDADES_ADTIVAS" localSheetId="13">#REF!</definedName>
    <definedName name="UNIDADES_ADTIVAS" localSheetId="5">#REF!</definedName>
    <definedName name="UNIDADES_ADTIVAS" localSheetId="14">#REF!</definedName>
    <definedName name="UNIDADES_ADTIVAS" localSheetId="6">#REF!</definedName>
    <definedName name="UNIDADES_ADTIVAS">#REF!</definedName>
    <definedName name="YYY">'[1]OCT-DIC'!$B$1:$B$1404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7" i="19" l="1"/>
  <c r="G8" i="19"/>
  <c r="G9" i="19"/>
  <c r="G10" i="19"/>
  <c r="G11" i="19"/>
  <c r="G12" i="19"/>
  <c r="G13" i="19"/>
  <c r="G14" i="19"/>
  <c r="G15" i="19"/>
  <c r="G16" i="19"/>
  <c r="G17" i="19"/>
  <c r="G18" i="19"/>
  <c r="G19" i="19"/>
  <c r="G20" i="19"/>
  <c r="G21" i="19"/>
  <c r="G22" i="19"/>
  <c r="G23" i="19"/>
  <c r="G24" i="19"/>
  <c r="G25" i="19"/>
  <c r="G26" i="19"/>
  <c r="G27" i="19"/>
  <c r="G28" i="19"/>
  <c r="G29" i="19"/>
  <c r="G30" i="19"/>
  <c r="G31" i="19"/>
  <c r="G6" i="19"/>
  <c r="K7" i="19"/>
  <c r="K8" i="19"/>
  <c r="K9" i="19"/>
  <c r="K10" i="19"/>
  <c r="K11" i="19"/>
  <c r="K12" i="19"/>
  <c r="K13" i="19"/>
  <c r="K14" i="19"/>
  <c r="K15" i="19"/>
  <c r="K16" i="19"/>
  <c r="K17" i="19"/>
  <c r="K18" i="19"/>
  <c r="K19" i="19"/>
  <c r="K20" i="19"/>
  <c r="K21" i="19"/>
  <c r="K22" i="19"/>
  <c r="K23" i="19"/>
  <c r="K24" i="19"/>
  <c r="K25" i="19"/>
  <c r="K26" i="19"/>
  <c r="K27" i="19"/>
  <c r="K28" i="19"/>
  <c r="K29" i="19"/>
  <c r="K30" i="19"/>
  <c r="K31" i="19"/>
  <c r="K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6" i="19"/>
  <c r="I7" i="19"/>
  <c r="I8" i="19"/>
  <c r="I9" i="19"/>
  <c r="I10" i="19"/>
  <c r="I11" i="19"/>
  <c r="I12" i="19"/>
  <c r="I13" i="19"/>
  <c r="I14" i="19"/>
  <c r="I15" i="19"/>
  <c r="I16" i="19"/>
  <c r="I17" i="19"/>
  <c r="I18" i="19"/>
  <c r="I19" i="19"/>
  <c r="I20" i="19"/>
  <c r="I21" i="19"/>
  <c r="I22" i="19"/>
  <c r="I23" i="19"/>
  <c r="I24" i="19"/>
  <c r="I25" i="19"/>
  <c r="I26" i="19"/>
  <c r="I27" i="19"/>
  <c r="I28" i="19"/>
  <c r="I29" i="19"/>
  <c r="I30" i="19"/>
  <c r="I31" i="19"/>
  <c r="I6" i="19"/>
  <c r="H7" i="19"/>
  <c r="H8" i="19"/>
  <c r="H9" i="19"/>
  <c r="H10" i="19"/>
  <c r="H11" i="19"/>
  <c r="H12" i="19"/>
  <c r="H13" i="19"/>
  <c r="H14" i="19"/>
  <c r="H15" i="19"/>
  <c r="H16" i="19"/>
  <c r="H17" i="19"/>
  <c r="H18" i="19"/>
  <c r="H19" i="19"/>
  <c r="H20" i="19"/>
  <c r="L20" i="19" s="1"/>
  <c r="Y20" i="19" s="1"/>
  <c r="H21" i="19"/>
  <c r="H22" i="19"/>
  <c r="H23" i="19"/>
  <c r="H24" i="19"/>
  <c r="H25" i="19"/>
  <c r="H26" i="19"/>
  <c r="H27" i="19"/>
  <c r="H28" i="19"/>
  <c r="H29" i="19"/>
  <c r="H30" i="19"/>
  <c r="H31" i="19"/>
  <c r="H6" i="19"/>
  <c r="L24" i="19" l="1"/>
  <c r="Y24" i="19" s="1"/>
  <c r="L16" i="19"/>
  <c r="L12" i="19"/>
  <c r="L8" i="19"/>
  <c r="L28" i="19"/>
  <c r="X28" i="19" s="1"/>
  <c r="N24" i="19"/>
  <c r="O24" i="19" s="1"/>
  <c r="N20" i="19"/>
  <c r="O20" i="19" s="1"/>
  <c r="P24" i="19"/>
  <c r="P20" i="19"/>
  <c r="S24" i="19"/>
  <c r="S20" i="19"/>
  <c r="W24" i="19"/>
  <c r="W20" i="19"/>
  <c r="M24" i="19"/>
  <c r="M20" i="19"/>
  <c r="Q24" i="19"/>
  <c r="Q20" i="19"/>
  <c r="U24" i="19"/>
  <c r="U20" i="19"/>
  <c r="L30" i="19"/>
  <c r="K32" i="19"/>
  <c r="I32" i="19"/>
  <c r="L29" i="19"/>
  <c r="G32" i="19"/>
  <c r="H32" i="19"/>
  <c r="L31" i="19"/>
  <c r="X31" i="19" s="1"/>
  <c r="J32" i="19"/>
  <c r="L9" i="19"/>
  <c r="L13" i="19"/>
  <c r="L17" i="19"/>
  <c r="L21" i="19"/>
  <c r="L25" i="19"/>
  <c r="X25" i="19" s="1"/>
  <c r="L10" i="19"/>
  <c r="L14" i="19"/>
  <c r="L18" i="19"/>
  <c r="L22" i="19"/>
  <c r="L26" i="19"/>
  <c r="L7" i="19"/>
  <c r="L11" i="19"/>
  <c r="L15" i="19"/>
  <c r="L19" i="19"/>
  <c r="L23" i="19"/>
  <c r="L27" i="19"/>
  <c r="X24" i="19"/>
  <c r="X20" i="19"/>
  <c r="L6" i="19"/>
  <c r="E88" i="4"/>
  <c r="R88" i="4" s="1"/>
  <c r="E64" i="4"/>
  <c r="W9" i="19" l="1"/>
  <c r="S9" i="19"/>
  <c r="P9" i="19"/>
  <c r="N9" i="19"/>
  <c r="O9" i="19" s="1"/>
  <c r="Y9" i="19"/>
  <c r="U9" i="19"/>
  <c r="Q9" i="19"/>
  <c r="M9" i="19"/>
  <c r="W25" i="19"/>
  <c r="S25" i="19"/>
  <c r="P25" i="19"/>
  <c r="N25" i="19"/>
  <c r="O25" i="19" s="1"/>
  <c r="Y25" i="19"/>
  <c r="U25" i="19"/>
  <c r="Q25" i="19"/>
  <c r="M25" i="19"/>
  <c r="W30" i="19"/>
  <c r="S30" i="19"/>
  <c r="P30" i="19"/>
  <c r="N30" i="19"/>
  <c r="O30" i="19" s="1"/>
  <c r="Y30" i="19"/>
  <c r="U30" i="19"/>
  <c r="Q30" i="19"/>
  <c r="M30" i="19"/>
  <c r="Y27" i="19"/>
  <c r="U27" i="19"/>
  <c r="Q27" i="19"/>
  <c r="M27" i="19"/>
  <c r="W27" i="19"/>
  <c r="S27" i="19"/>
  <c r="P27" i="19"/>
  <c r="N27" i="19"/>
  <c r="O27" i="19" s="1"/>
  <c r="W21" i="19"/>
  <c r="S21" i="19"/>
  <c r="P21" i="19"/>
  <c r="N21" i="19"/>
  <c r="O21" i="19" s="1"/>
  <c r="Y21" i="19"/>
  <c r="U21" i="19"/>
  <c r="Q21" i="19"/>
  <c r="M21" i="19"/>
  <c r="W29" i="19"/>
  <c r="S29" i="19"/>
  <c r="P29" i="19"/>
  <c r="N29" i="19"/>
  <c r="O29" i="19" s="1"/>
  <c r="Y29" i="19"/>
  <c r="U29" i="19"/>
  <c r="Q29" i="19"/>
  <c r="M29" i="19"/>
  <c r="W22" i="19"/>
  <c r="S22" i="19"/>
  <c r="P22" i="19"/>
  <c r="N22" i="19"/>
  <c r="O22" i="19" s="1"/>
  <c r="Y22" i="19"/>
  <c r="U22" i="19"/>
  <c r="Q22" i="19"/>
  <c r="M22" i="19"/>
  <c r="Y23" i="19"/>
  <c r="U23" i="19"/>
  <c r="Q23" i="19"/>
  <c r="M23" i="19"/>
  <c r="W23" i="19"/>
  <c r="S23" i="19"/>
  <c r="P23" i="19"/>
  <c r="N23" i="19"/>
  <c r="O23" i="19" s="1"/>
  <c r="Y31" i="19"/>
  <c r="U31" i="19"/>
  <c r="Q31" i="19"/>
  <c r="M31" i="19"/>
  <c r="W31" i="19"/>
  <c r="S31" i="19"/>
  <c r="P31" i="19"/>
  <c r="N31" i="19"/>
  <c r="O31" i="19" s="1"/>
  <c r="Y19" i="19"/>
  <c r="U19" i="19"/>
  <c r="Q19" i="19"/>
  <c r="M19" i="19"/>
  <c r="W19" i="19"/>
  <c r="S19" i="19"/>
  <c r="P19" i="19"/>
  <c r="N19" i="19"/>
  <c r="O19" i="19" s="1"/>
  <c r="W26" i="19"/>
  <c r="S26" i="19"/>
  <c r="P26" i="19"/>
  <c r="N26" i="19"/>
  <c r="O26" i="19" s="1"/>
  <c r="Y26" i="19"/>
  <c r="U26" i="19"/>
  <c r="Q26" i="19"/>
  <c r="M26" i="19"/>
  <c r="Y28" i="19"/>
  <c r="U28" i="19"/>
  <c r="Q28" i="19"/>
  <c r="M28" i="19"/>
  <c r="W28" i="19"/>
  <c r="S28" i="19"/>
  <c r="P28" i="19"/>
  <c r="N28" i="19"/>
  <c r="O28" i="19" s="1"/>
  <c r="X26" i="19"/>
  <c r="X27" i="19"/>
  <c r="V20" i="19"/>
  <c r="T24" i="19"/>
  <c r="X29" i="19"/>
  <c r="Z24" i="19"/>
  <c r="X22" i="19"/>
  <c r="Z20" i="19"/>
  <c r="L32" i="19"/>
  <c r="X23" i="19"/>
  <c r="R24" i="19"/>
  <c r="T20" i="19"/>
  <c r="X30" i="19"/>
  <c r="X21" i="19"/>
  <c r="R20" i="19"/>
  <c r="X19" i="19"/>
  <c r="V24" i="19"/>
  <c r="X9" i="19"/>
  <c r="K88" i="4"/>
  <c r="Q88" i="4"/>
  <c r="O88" i="4"/>
  <c r="S88" i="4"/>
  <c r="P88" i="4"/>
  <c r="T88" i="4"/>
  <c r="N88" i="4"/>
  <c r="L88" i="4"/>
  <c r="T27" i="19" l="1"/>
  <c r="T30" i="19"/>
  <c r="R29" i="19"/>
  <c r="R30" i="19"/>
  <c r="T25" i="19"/>
  <c r="R9" i="19"/>
  <c r="Z28" i="19"/>
  <c r="Z26" i="19"/>
  <c r="Z19" i="19"/>
  <c r="Z31" i="19"/>
  <c r="Z23" i="19"/>
  <c r="Z22" i="19"/>
  <c r="Z29" i="19"/>
  <c r="Z21" i="19"/>
  <c r="Z9" i="19"/>
  <c r="Z30" i="19"/>
  <c r="Z25" i="19"/>
  <c r="V26" i="19"/>
  <c r="V28" i="19"/>
  <c r="R28" i="19"/>
  <c r="T26" i="19"/>
  <c r="V19" i="19"/>
  <c r="T31" i="19"/>
  <c r="V22" i="19"/>
  <c r="V29" i="19"/>
  <c r="R21" i="19"/>
  <c r="V27" i="19"/>
  <c r="V30" i="19"/>
  <c r="V25" i="19"/>
  <c r="R25" i="19"/>
  <c r="R26" i="19"/>
  <c r="T19" i="19"/>
  <c r="R22" i="19"/>
  <c r="R27" i="19"/>
  <c r="T28" i="19"/>
  <c r="T29" i="19"/>
  <c r="V31" i="19"/>
  <c r="V21" i="19"/>
  <c r="R31" i="19"/>
  <c r="T21" i="19"/>
  <c r="T22" i="19"/>
  <c r="Z27" i="19"/>
  <c r="R23" i="19"/>
  <c r="R19" i="19"/>
  <c r="T23" i="19"/>
  <c r="V23" i="19"/>
  <c r="V9" i="19"/>
  <c r="T9" i="19"/>
  <c r="M88" i="4"/>
  <c r="E20" i="18" l="1"/>
  <c r="C20" i="18"/>
  <c r="E19" i="18"/>
  <c r="C19" i="18"/>
  <c r="E16" i="18"/>
  <c r="C16" i="18"/>
  <c r="E17" i="18"/>
  <c r="C17" i="18"/>
  <c r="E15" i="18"/>
  <c r="C15" i="18"/>
  <c r="E14" i="18"/>
  <c r="C14" i="18"/>
  <c r="E13" i="18"/>
  <c r="C13" i="18"/>
  <c r="E18" i="18"/>
  <c r="C18" i="18"/>
  <c r="E12" i="18"/>
  <c r="C12" i="18"/>
  <c r="E11" i="18"/>
  <c r="C11" i="18"/>
  <c r="E10" i="18"/>
  <c r="C10" i="18"/>
  <c r="G16" i="18" l="1"/>
  <c r="F16" i="18" s="1"/>
  <c r="G18" i="18"/>
  <c r="D18" i="18" s="1"/>
  <c r="G14" i="18"/>
  <c r="F14" i="18" s="1"/>
  <c r="G17" i="18"/>
  <c r="D17" i="18" s="1"/>
  <c r="G13" i="18"/>
  <c r="F13" i="18" s="1"/>
  <c r="C21" i="18"/>
  <c r="G10" i="18"/>
  <c r="F10" i="18" s="1"/>
  <c r="G11" i="18"/>
  <c r="F11" i="18" s="1"/>
  <c r="G19" i="18"/>
  <c r="F19" i="18" s="1"/>
  <c r="E21" i="18"/>
  <c r="G12" i="18"/>
  <c r="D12" i="18" s="1"/>
  <c r="G15" i="18"/>
  <c r="D15" i="18" s="1"/>
  <c r="G20" i="18"/>
  <c r="D20" i="18" s="1"/>
  <c r="E89" i="4"/>
  <c r="R89" i="4" s="1"/>
  <c r="F17" i="18" l="1"/>
  <c r="P89" i="4"/>
  <c r="K89" i="4"/>
  <c r="O89" i="4"/>
  <c r="S89" i="4"/>
  <c r="L89" i="4"/>
  <c r="T89" i="4"/>
  <c r="M89" i="4"/>
  <c r="Q89" i="4"/>
  <c r="N89" i="4"/>
  <c r="D16" i="18"/>
  <c r="D14" i="18"/>
  <c r="F18" i="18"/>
  <c r="D13" i="18"/>
  <c r="D10" i="18"/>
  <c r="F15" i="18"/>
  <c r="F20" i="18"/>
  <c r="D19" i="18"/>
  <c r="F12" i="18"/>
  <c r="G21" i="18"/>
  <c r="D21" i="18" s="1"/>
  <c r="D11" i="18"/>
  <c r="E58" i="4"/>
  <c r="T58" i="4" s="1"/>
  <c r="E38" i="4"/>
  <c r="K38" i="4" s="1"/>
  <c r="E69" i="4"/>
  <c r="K58" i="4" l="1"/>
  <c r="O58" i="4"/>
  <c r="S58" i="4"/>
  <c r="F21" i="18"/>
  <c r="M58" i="4"/>
  <c r="Q58" i="4"/>
  <c r="N58" i="4"/>
  <c r="R58" i="4"/>
  <c r="L58" i="4"/>
  <c r="P58" i="4"/>
  <c r="I31" i="16"/>
  <c r="H31" i="16"/>
  <c r="G31" i="16"/>
  <c r="F31" i="16"/>
  <c r="E31" i="16"/>
  <c r="I30" i="16"/>
  <c r="H30" i="16"/>
  <c r="G30" i="16"/>
  <c r="F30" i="16"/>
  <c r="E30" i="16"/>
  <c r="I29" i="16"/>
  <c r="H29" i="16"/>
  <c r="G29" i="16"/>
  <c r="F29" i="16"/>
  <c r="E29" i="16"/>
  <c r="I28" i="16"/>
  <c r="H28" i="16"/>
  <c r="G28" i="16"/>
  <c r="F28" i="16"/>
  <c r="E28" i="16"/>
  <c r="I27" i="16"/>
  <c r="H27" i="16"/>
  <c r="G27" i="16"/>
  <c r="F27" i="16"/>
  <c r="E27" i="16"/>
  <c r="I26" i="16"/>
  <c r="H26" i="16"/>
  <c r="G26" i="16"/>
  <c r="F26" i="16"/>
  <c r="E26" i="16"/>
  <c r="I25" i="16"/>
  <c r="H25" i="16"/>
  <c r="G25" i="16"/>
  <c r="F25" i="16"/>
  <c r="E25" i="16"/>
  <c r="I24" i="16"/>
  <c r="H24" i="16"/>
  <c r="G24" i="16"/>
  <c r="F24" i="16"/>
  <c r="E24" i="16"/>
  <c r="I23" i="16"/>
  <c r="H23" i="16"/>
  <c r="G23" i="16"/>
  <c r="F23" i="16"/>
  <c r="E23" i="16"/>
  <c r="I22" i="16"/>
  <c r="H22" i="16"/>
  <c r="G22" i="16"/>
  <c r="F22" i="16"/>
  <c r="E22" i="16"/>
  <c r="I21" i="16"/>
  <c r="H21" i="16"/>
  <c r="G21" i="16"/>
  <c r="F21" i="16"/>
  <c r="E21" i="16"/>
  <c r="I20" i="16"/>
  <c r="H20" i="16"/>
  <c r="G20" i="16"/>
  <c r="F20" i="16"/>
  <c r="E20" i="16"/>
  <c r="I19" i="16"/>
  <c r="H19" i="16"/>
  <c r="G19" i="16"/>
  <c r="F19" i="16"/>
  <c r="E19" i="16"/>
  <c r="I18" i="16"/>
  <c r="H18" i="16"/>
  <c r="G18" i="16"/>
  <c r="F18" i="16"/>
  <c r="E18" i="16"/>
  <c r="I17" i="16"/>
  <c r="H17" i="16"/>
  <c r="G17" i="16"/>
  <c r="F17" i="16"/>
  <c r="E17" i="16"/>
  <c r="I16" i="16"/>
  <c r="H16" i="16"/>
  <c r="G16" i="16"/>
  <c r="F16" i="16"/>
  <c r="E16" i="16"/>
  <c r="I15" i="16"/>
  <c r="H15" i="16"/>
  <c r="G15" i="16"/>
  <c r="F15" i="16"/>
  <c r="E15" i="16"/>
  <c r="I14" i="16"/>
  <c r="H14" i="16"/>
  <c r="G14" i="16"/>
  <c r="F14" i="16"/>
  <c r="E14" i="16"/>
  <c r="I13" i="16"/>
  <c r="H13" i="16"/>
  <c r="G13" i="16"/>
  <c r="F13" i="16"/>
  <c r="E13" i="16"/>
  <c r="I12" i="16"/>
  <c r="H12" i="16"/>
  <c r="G12" i="16"/>
  <c r="F12" i="16"/>
  <c r="E12" i="16"/>
  <c r="I11" i="16"/>
  <c r="H11" i="16"/>
  <c r="G11" i="16"/>
  <c r="F11" i="16"/>
  <c r="E11" i="16"/>
  <c r="I10" i="16"/>
  <c r="H10" i="16"/>
  <c r="G10" i="16"/>
  <c r="F10" i="16"/>
  <c r="E10" i="16"/>
  <c r="I9" i="16"/>
  <c r="H9" i="16"/>
  <c r="G9" i="16"/>
  <c r="F9" i="16"/>
  <c r="E9" i="16"/>
  <c r="I8" i="16"/>
  <c r="H8" i="16"/>
  <c r="G8" i="16"/>
  <c r="F8" i="16"/>
  <c r="E8" i="16"/>
  <c r="I7" i="16"/>
  <c r="H7" i="16"/>
  <c r="G7" i="16"/>
  <c r="F7" i="16"/>
  <c r="E7" i="16"/>
  <c r="I6" i="16"/>
  <c r="H6" i="16"/>
  <c r="G6" i="16"/>
  <c r="F6" i="16"/>
  <c r="E6" i="16"/>
  <c r="F32" i="16" l="1"/>
  <c r="J27" i="16"/>
  <c r="W27" i="16" s="1"/>
  <c r="J31" i="16"/>
  <c r="J7" i="16"/>
  <c r="J11" i="16"/>
  <c r="J15" i="16"/>
  <c r="J19" i="16"/>
  <c r="J23" i="16"/>
  <c r="G32" i="16"/>
  <c r="J8" i="16"/>
  <c r="Q8" i="16" s="1"/>
  <c r="J12" i="16"/>
  <c r="J16" i="16"/>
  <c r="J20" i="16"/>
  <c r="J24" i="16"/>
  <c r="J28" i="16"/>
  <c r="O28" i="16" s="1"/>
  <c r="H32" i="16"/>
  <c r="J9" i="16"/>
  <c r="J13" i="16"/>
  <c r="J17" i="16"/>
  <c r="J21" i="16"/>
  <c r="J25" i="16"/>
  <c r="J29" i="16"/>
  <c r="E32" i="16"/>
  <c r="I32" i="16"/>
  <c r="J10" i="16"/>
  <c r="J14" i="16"/>
  <c r="J18" i="16"/>
  <c r="J22" i="16"/>
  <c r="J26" i="16"/>
  <c r="J30" i="16"/>
  <c r="W28" i="16"/>
  <c r="S28" i="16"/>
  <c r="J6" i="16"/>
  <c r="S27" i="16"/>
  <c r="U27" i="16"/>
  <c r="E86" i="4"/>
  <c r="M28" i="16" l="1"/>
  <c r="X28" i="16" s="1"/>
  <c r="Q28" i="16"/>
  <c r="R28" i="16" s="1"/>
  <c r="U28" i="16"/>
  <c r="N28" i="16"/>
  <c r="V28" i="16"/>
  <c r="K28" i="16"/>
  <c r="L28" i="16" s="1"/>
  <c r="K8" i="16"/>
  <c r="L8" i="16" s="1"/>
  <c r="M8" i="16"/>
  <c r="M27" i="16"/>
  <c r="X27" i="16" s="1"/>
  <c r="K27" i="16"/>
  <c r="L27" i="16" s="1"/>
  <c r="S8" i="16"/>
  <c r="U8" i="16"/>
  <c r="Q27" i="16"/>
  <c r="V27" i="16" s="1"/>
  <c r="O27" i="16"/>
  <c r="W8" i="16"/>
  <c r="N8" i="16"/>
  <c r="N27" i="16"/>
  <c r="O8" i="16"/>
  <c r="V8" i="16" s="1"/>
  <c r="J32" i="16"/>
  <c r="N86" i="4"/>
  <c r="T86" i="4"/>
  <c r="K86" i="4"/>
  <c r="E16" i="4"/>
  <c r="W11" i="16" l="1"/>
  <c r="T16" i="4"/>
  <c r="P16" i="4"/>
  <c r="L16" i="4"/>
  <c r="S16" i="4"/>
  <c r="O16" i="4"/>
  <c r="K16" i="4"/>
  <c r="R16" i="4"/>
  <c r="N16" i="4"/>
  <c r="Q16" i="4"/>
  <c r="M16" i="4"/>
  <c r="P28" i="16"/>
  <c r="T28" i="16"/>
  <c r="X8" i="16"/>
  <c r="P27" i="16"/>
  <c r="T27" i="16"/>
  <c r="R8" i="16"/>
  <c r="R27" i="16"/>
  <c r="P8" i="16"/>
  <c r="T8" i="16"/>
  <c r="M11" i="16"/>
  <c r="X11" i="16" s="1"/>
  <c r="E78" i="4"/>
  <c r="N78" i="4" s="1"/>
  <c r="E50" i="4"/>
  <c r="R50" i="4" s="1"/>
  <c r="M78" i="4" l="1"/>
  <c r="L50" i="4"/>
  <c r="T50" i="4"/>
  <c r="P50" i="4"/>
  <c r="O50" i="4"/>
  <c r="K50" i="4"/>
  <c r="S50" i="4"/>
  <c r="U29" i="16" s="1"/>
  <c r="R78" i="4"/>
  <c r="S29" i="16" s="1"/>
  <c r="M50" i="4"/>
  <c r="Q50" i="4"/>
  <c r="K78" i="4"/>
  <c r="O78" i="4"/>
  <c r="S78" i="4"/>
  <c r="N50" i="4"/>
  <c r="L78" i="4"/>
  <c r="P78" i="4"/>
  <c r="T78" i="4"/>
  <c r="Q78" i="4"/>
  <c r="E63" i="4"/>
  <c r="Q63" i="4" s="1"/>
  <c r="Q31" i="16" l="1"/>
  <c r="S6" i="19"/>
  <c r="W29" i="16"/>
  <c r="N29" i="16"/>
  <c r="Q29" i="16"/>
  <c r="M29" i="16"/>
  <c r="K29" i="16"/>
  <c r="L29" i="16" s="1"/>
  <c r="O29" i="16"/>
  <c r="N63" i="4"/>
  <c r="R63" i="4"/>
  <c r="K63" i="4"/>
  <c r="O63" i="4"/>
  <c r="S63" i="4"/>
  <c r="L63" i="4"/>
  <c r="P63" i="4"/>
  <c r="T63" i="4"/>
  <c r="M63" i="4"/>
  <c r="O31" i="16" l="1"/>
  <c r="Q6" i="19"/>
  <c r="W31" i="16"/>
  <c r="Y6" i="19"/>
  <c r="N31" i="16"/>
  <c r="P6" i="19"/>
  <c r="M31" i="16"/>
  <c r="M6" i="19"/>
  <c r="K31" i="16"/>
  <c r="L31" i="16" s="1"/>
  <c r="N6" i="19"/>
  <c r="S31" i="16"/>
  <c r="P31" i="16" s="1"/>
  <c r="U6" i="19"/>
  <c r="U31" i="16"/>
  <c r="W6" i="19"/>
  <c r="X29" i="16"/>
  <c r="R29" i="16"/>
  <c r="P29" i="16"/>
  <c r="V29" i="16"/>
  <c r="T29" i="16"/>
  <c r="E84" i="4"/>
  <c r="T84" i="4" s="1"/>
  <c r="E76" i="4"/>
  <c r="R76" i="4" s="1"/>
  <c r="E71" i="4"/>
  <c r="T71" i="4" s="1"/>
  <c r="X31" i="16" l="1"/>
  <c r="R31" i="16"/>
  <c r="V31" i="16"/>
  <c r="T31" i="16"/>
  <c r="T6" i="19"/>
  <c r="V6" i="19"/>
  <c r="Z6" i="19"/>
  <c r="O6" i="19"/>
  <c r="X6" i="19"/>
  <c r="R6" i="19"/>
  <c r="M71" i="4"/>
  <c r="Q71" i="4"/>
  <c r="K76" i="4"/>
  <c r="O76" i="4"/>
  <c r="S76" i="4"/>
  <c r="M84" i="4"/>
  <c r="Q84" i="4"/>
  <c r="N71" i="4"/>
  <c r="R71" i="4"/>
  <c r="L76" i="4"/>
  <c r="P76" i="4"/>
  <c r="T76" i="4"/>
  <c r="W30" i="16" s="1"/>
  <c r="N84" i="4"/>
  <c r="R84" i="4"/>
  <c r="K71" i="4"/>
  <c r="O71" i="4"/>
  <c r="S71" i="4"/>
  <c r="U30" i="16" s="1"/>
  <c r="M76" i="4"/>
  <c r="Q76" i="4"/>
  <c r="K84" i="4"/>
  <c r="O84" i="4"/>
  <c r="S84" i="4"/>
  <c r="L71" i="4"/>
  <c r="K30" i="16" s="1"/>
  <c r="L30" i="16" s="1"/>
  <c r="P71" i="4"/>
  <c r="N76" i="4"/>
  <c r="L84" i="4"/>
  <c r="P84" i="4"/>
  <c r="E70" i="4"/>
  <c r="N70" i="4" s="1"/>
  <c r="E56" i="4"/>
  <c r="K56" i="4" s="1"/>
  <c r="E36" i="4"/>
  <c r="N36" i="4" s="1"/>
  <c r="E28" i="4"/>
  <c r="T28" i="4" s="1"/>
  <c r="E27" i="4"/>
  <c r="N27" i="4" s="1"/>
  <c r="E7" i="4"/>
  <c r="K7" i="4" s="1"/>
  <c r="M30" i="16" l="1"/>
  <c r="X30" i="16" s="1"/>
  <c r="Q30" i="16"/>
  <c r="S30" i="16"/>
  <c r="O30" i="16"/>
  <c r="N30" i="16"/>
  <c r="T36" i="4"/>
  <c r="N28" i="4"/>
  <c r="N7" i="4"/>
  <c r="T27" i="4"/>
  <c r="K36" i="4"/>
  <c r="N56" i="4"/>
  <c r="T70" i="4"/>
  <c r="T7" i="4"/>
  <c r="K28" i="4"/>
  <c r="T56" i="4"/>
  <c r="K27" i="4"/>
  <c r="M9" i="16" s="1"/>
  <c r="K70" i="4"/>
  <c r="O27" i="4"/>
  <c r="O70" i="4"/>
  <c r="O28" i="4"/>
  <c r="O36" i="4"/>
  <c r="O56" i="4"/>
  <c r="O7" i="4"/>
  <c r="W9" i="16" l="1"/>
  <c r="X9" i="16" s="1"/>
  <c r="N9" i="16"/>
  <c r="T30" i="16"/>
  <c r="P30" i="16"/>
  <c r="V30" i="16"/>
  <c r="R30" i="16"/>
  <c r="L36" i="4"/>
  <c r="L28" i="4"/>
  <c r="L70" i="4"/>
  <c r="L27" i="4"/>
  <c r="S28" i="4"/>
  <c r="R28" i="4"/>
  <c r="Q28" i="4"/>
  <c r="P28" i="4"/>
  <c r="Q7" i="4"/>
  <c r="S7" i="4"/>
  <c r="R7" i="4"/>
  <c r="P7" i="4"/>
  <c r="S36" i="4"/>
  <c r="R36" i="4"/>
  <c r="P36" i="4"/>
  <c r="Q36" i="4"/>
  <c r="S27" i="4"/>
  <c r="R27" i="4"/>
  <c r="Q27" i="4"/>
  <c r="P27" i="4"/>
  <c r="S56" i="4"/>
  <c r="R56" i="4"/>
  <c r="Q56" i="4"/>
  <c r="P56" i="4"/>
  <c r="S70" i="4"/>
  <c r="R70" i="4"/>
  <c r="Q70" i="4"/>
  <c r="P70" i="4"/>
  <c r="M36" i="4"/>
  <c r="M28" i="4"/>
  <c r="M70" i="4"/>
  <c r="L56" i="4"/>
  <c r="M27" i="4"/>
  <c r="L7" i="4"/>
  <c r="S9" i="16" l="1"/>
  <c r="K9" i="16"/>
  <c r="L9" i="16" s="1"/>
  <c r="Q9" i="16"/>
  <c r="O9" i="16"/>
  <c r="U9" i="16"/>
  <c r="M56" i="4"/>
  <c r="M7" i="4"/>
  <c r="T9" i="16" l="1"/>
  <c r="P9" i="16"/>
  <c r="V9" i="16"/>
  <c r="R9" i="16"/>
  <c r="E80" i="4"/>
  <c r="T80" i="4" s="1"/>
  <c r="E51" i="4"/>
  <c r="N51" i="4" s="1"/>
  <c r="E34" i="4"/>
  <c r="K34" i="4" s="1"/>
  <c r="E24" i="4"/>
  <c r="N24" i="4" s="1"/>
  <c r="E22" i="4"/>
  <c r="T22" i="4" s="1"/>
  <c r="K51" i="4" l="1"/>
  <c r="N80" i="4"/>
  <c r="N22" i="4"/>
  <c r="T24" i="4"/>
  <c r="W20" i="16" s="1"/>
  <c r="K24" i="4"/>
  <c r="N34" i="4"/>
  <c r="T51" i="4"/>
  <c r="K22" i="4"/>
  <c r="T34" i="4"/>
  <c r="K80" i="4"/>
  <c r="S34" i="4"/>
  <c r="R34" i="4"/>
  <c r="Q34" i="4"/>
  <c r="P34" i="4"/>
  <c r="M20" i="16" l="1"/>
  <c r="X20" i="16" s="1"/>
  <c r="M17" i="19"/>
  <c r="Y17" i="19"/>
  <c r="O24" i="4"/>
  <c r="O34" i="4"/>
  <c r="O22" i="4"/>
  <c r="O80" i="4"/>
  <c r="O51" i="4"/>
  <c r="R51" i="4"/>
  <c r="P51" i="4"/>
  <c r="S51" i="4"/>
  <c r="Q51" i="4"/>
  <c r="S24" i="4"/>
  <c r="R24" i="4"/>
  <c r="Q24" i="4"/>
  <c r="P24" i="4"/>
  <c r="S80" i="4"/>
  <c r="R80" i="4"/>
  <c r="Q80" i="4"/>
  <c r="P80" i="4"/>
  <c r="S22" i="4"/>
  <c r="R22" i="4"/>
  <c r="Q22" i="4"/>
  <c r="P22" i="4"/>
  <c r="Q17" i="19" s="1"/>
  <c r="L24" i="4"/>
  <c r="U20" i="16" l="1"/>
  <c r="W17" i="19"/>
  <c r="Q20" i="16"/>
  <c r="S17" i="19"/>
  <c r="N20" i="16"/>
  <c r="P17" i="19"/>
  <c r="S20" i="16"/>
  <c r="U17" i="19"/>
  <c r="Z17" i="19"/>
  <c r="O20" i="16"/>
  <c r="M80" i="4"/>
  <c r="L80" i="4"/>
  <c r="M34" i="4"/>
  <c r="L34" i="4"/>
  <c r="M51" i="4"/>
  <c r="L51" i="4"/>
  <c r="M22" i="4"/>
  <c r="L22" i="4"/>
  <c r="M24" i="4"/>
  <c r="T20" i="16" l="1"/>
  <c r="R17" i="19"/>
  <c r="V17" i="19"/>
  <c r="T17" i="19"/>
  <c r="K20" i="16"/>
  <c r="L20" i="16" s="1"/>
  <c r="N17" i="19"/>
  <c r="O17" i="19" s="1"/>
  <c r="X17" i="19"/>
  <c r="P20" i="16"/>
  <c r="R20" i="16"/>
  <c r="V20" i="16"/>
  <c r="E85" i="4"/>
  <c r="T85" i="4" s="1"/>
  <c r="W25" i="16" s="1"/>
  <c r="Q85" i="4" l="1"/>
  <c r="Q25" i="16" s="1"/>
  <c r="M85" i="4"/>
  <c r="R85" i="4"/>
  <c r="S25" i="16" s="1"/>
  <c r="N85" i="4"/>
  <c r="K85" i="4"/>
  <c r="M25" i="16" s="1"/>
  <c r="X25" i="16" s="1"/>
  <c r="O85" i="4"/>
  <c r="N25" i="16" s="1"/>
  <c r="S85" i="4"/>
  <c r="U25" i="16" s="1"/>
  <c r="L85" i="4"/>
  <c r="K25" i="16" s="1"/>
  <c r="L25" i="16" s="1"/>
  <c r="P85" i="4"/>
  <c r="O25" i="16" s="1"/>
  <c r="T25" i="16" l="1"/>
  <c r="V25" i="16"/>
  <c r="P25" i="16"/>
  <c r="R25" i="16"/>
  <c r="E68" i="4"/>
  <c r="E66" i="4"/>
  <c r="E26" i="4"/>
  <c r="E10" i="4"/>
  <c r="K10" i="4" l="1"/>
  <c r="T10" i="4"/>
  <c r="P10" i="4"/>
  <c r="L10" i="4"/>
  <c r="S10" i="4"/>
  <c r="R10" i="4"/>
  <c r="N10" i="4"/>
  <c r="M10" i="4"/>
  <c r="Q10" i="4"/>
  <c r="Q17" i="16" s="1"/>
  <c r="O10" i="4"/>
  <c r="S26" i="4"/>
  <c r="O26" i="4"/>
  <c r="N26" i="4"/>
  <c r="R26" i="4"/>
  <c r="Q26" i="4"/>
  <c r="M26" i="4"/>
  <c r="K26" i="4"/>
  <c r="T26" i="4"/>
  <c r="P26" i="4"/>
  <c r="L26" i="4"/>
  <c r="R66" i="4"/>
  <c r="N66" i="4"/>
  <c r="Q66" i="4"/>
  <c r="M66" i="4"/>
  <c r="K66" i="4"/>
  <c r="T66" i="4"/>
  <c r="P66" i="4"/>
  <c r="L66" i="4"/>
  <c r="S66" i="4"/>
  <c r="O66" i="4"/>
  <c r="Q68" i="4"/>
  <c r="M68" i="4"/>
  <c r="K68" i="4"/>
  <c r="T68" i="4"/>
  <c r="P68" i="4"/>
  <c r="L68" i="4"/>
  <c r="S68" i="4"/>
  <c r="O68" i="4"/>
  <c r="R68" i="4"/>
  <c r="N68" i="4"/>
  <c r="E83" i="4"/>
  <c r="E61" i="4"/>
  <c r="T61" i="4" s="1"/>
  <c r="E60" i="4"/>
  <c r="E59" i="4"/>
  <c r="T59" i="4" s="1"/>
  <c r="E57" i="4"/>
  <c r="E49" i="4"/>
  <c r="K17" i="16" l="1"/>
  <c r="L17" i="16" s="1"/>
  <c r="O17" i="16"/>
  <c r="N17" i="16"/>
  <c r="S17" i="16"/>
  <c r="W17" i="16"/>
  <c r="U17" i="16"/>
  <c r="M17" i="16"/>
  <c r="T57" i="4"/>
  <c r="K57" i="4"/>
  <c r="K61" i="4"/>
  <c r="N60" i="4"/>
  <c r="N61" i="4"/>
  <c r="T49" i="4"/>
  <c r="K49" i="4"/>
  <c r="T60" i="4"/>
  <c r="K60" i="4"/>
  <c r="N49" i="4"/>
  <c r="T83" i="4"/>
  <c r="K59" i="4"/>
  <c r="N59" i="4"/>
  <c r="K83" i="4"/>
  <c r="N57" i="4"/>
  <c r="N83" i="4"/>
  <c r="E47" i="4"/>
  <c r="E41" i="4"/>
  <c r="E37" i="4"/>
  <c r="E20" i="4"/>
  <c r="E19" i="4"/>
  <c r="E14" i="4"/>
  <c r="X17" i="16" l="1"/>
  <c r="T17" i="16"/>
  <c r="R17" i="16"/>
  <c r="P17" i="16"/>
  <c r="V17" i="16"/>
  <c r="K14" i="4"/>
  <c r="T14" i="4"/>
  <c r="N14" i="4"/>
  <c r="T41" i="4"/>
  <c r="N41" i="4"/>
  <c r="K41" i="4"/>
  <c r="T19" i="4"/>
  <c r="N19" i="4"/>
  <c r="K19" i="4"/>
  <c r="N47" i="4"/>
  <c r="K47" i="4"/>
  <c r="T47" i="4"/>
  <c r="T20" i="4"/>
  <c r="N20" i="4"/>
  <c r="K20" i="4"/>
  <c r="T37" i="4"/>
  <c r="N37" i="4"/>
  <c r="K37" i="4"/>
  <c r="E35" i="4"/>
  <c r="E11" i="4"/>
  <c r="M23" i="16" l="1"/>
  <c r="W23" i="16"/>
  <c r="Q11" i="4"/>
  <c r="P11" i="4"/>
  <c r="O11" i="4"/>
  <c r="N11" i="4"/>
  <c r="O35" i="4"/>
  <c r="P35" i="4"/>
  <c r="N35" i="4"/>
  <c r="T11" i="4"/>
  <c r="Y8" i="19" s="1"/>
  <c r="M11" i="4"/>
  <c r="K11" i="4"/>
  <c r="L11" i="4"/>
  <c r="Q35" i="4"/>
  <c r="L35" i="4"/>
  <c r="M35" i="4"/>
  <c r="K35" i="4"/>
  <c r="R11" i="4"/>
  <c r="S11" i="4"/>
  <c r="R35" i="4"/>
  <c r="S35" i="4"/>
  <c r="T35" i="4"/>
  <c r="S24" i="16" l="1"/>
  <c r="U8" i="19"/>
  <c r="N24" i="16"/>
  <c r="P8" i="19"/>
  <c r="K24" i="16"/>
  <c r="L24" i="16" s="1"/>
  <c r="N8" i="19"/>
  <c r="O8" i="19" s="1"/>
  <c r="M8" i="19"/>
  <c r="Z8" i="19" s="1"/>
  <c r="Q8" i="19"/>
  <c r="W8" i="19"/>
  <c r="S8" i="19"/>
  <c r="X23" i="16"/>
  <c r="M24" i="16"/>
  <c r="O24" i="16"/>
  <c r="U24" i="16"/>
  <c r="Q24" i="16"/>
  <c r="W24" i="16"/>
  <c r="E87" i="4"/>
  <c r="E81" i="4"/>
  <c r="E79" i="4"/>
  <c r="E77" i="4"/>
  <c r="E75" i="4"/>
  <c r="E72" i="4"/>
  <c r="E67" i="4"/>
  <c r="E65" i="4"/>
  <c r="E62" i="4"/>
  <c r="E54" i="4"/>
  <c r="E53" i="4"/>
  <c r="E48" i="4"/>
  <c r="E40" i="4"/>
  <c r="X8" i="19" l="1"/>
  <c r="T8" i="19"/>
  <c r="V8" i="19"/>
  <c r="R8" i="19"/>
  <c r="X24" i="16"/>
  <c r="R24" i="16"/>
  <c r="P24" i="16"/>
  <c r="V24" i="16"/>
  <c r="T24" i="16"/>
  <c r="O65" i="4"/>
  <c r="P65" i="4"/>
  <c r="N65" i="4"/>
  <c r="P53" i="4"/>
  <c r="O53" i="4"/>
  <c r="N53" i="4"/>
  <c r="P67" i="4"/>
  <c r="N67" i="4"/>
  <c r="O67" i="4"/>
  <c r="O79" i="4"/>
  <c r="P79" i="4"/>
  <c r="N79" i="4"/>
  <c r="O77" i="4"/>
  <c r="P77" i="4"/>
  <c r="N77" i="4"/>
  <c r="O54" i="4"/>
  <c r="P54" i="4"/>
  <c r="N54" i="4"/>
  <c r="O72" i="4"/>
  <c r="P72" i="4"/>
  <c r="N72" i="4"/>
  <c r="P81" i="4"/>
  <c r="N81" i="4"/>
  <c r="O81" i="4"/>
  <c r="O48" i="4"/>
  <c r="P48" i="4"/>
  <c r="N48" i="4"/>
  <c r="P40" i="4"/>
  <c r="N40" i="4"/>
  <c r="O40" i="4"/>
  <c r="P62" i="4"/>
  <c r="N62" i="4"/>
  <c r="O62" i="4"/>
  <c r="P75" i="4"/>
  <c r="N75" i="4"/>
  <c r="O75" i="4"/>
  <c r="O87" i="4"/>
  <c r="P87" i="4"/>
  <c r="N87" i="4"/>
  <c r="L65" i="4"/>
  <c r="M65" i="4"/>
  <c r="K65" i="4"/>
  <c r="L77" i="4"/>
  <c r="M77" i="4"/>
  <c r="K77" i="4"/>
  <c r="L53" i="4"/>
  <c r="M53" i="4"/>
  <c r="K53" i="4"/>
  <c r="M67" i="4"/>
  <c r="K67" i="4"/>
  <c r="L67" i="4"/>
  <c r="M79" i="4"/>
  <c r="K79" i="4"/>
  <c r="L79" i="4"/>
  <c r="L54" i="4"/>
  <c r="M54" i="4"/>
  <c r="K54" i="4"/>
  <c r="M72" i="4"/>
  <c r="K72" i="4"/>
  <c r="L72" i="4"/>
  <c r="M81" i="4"/>
  <c r="K81" i="4"/>
  <c r="L81" i="4"/>
  <c r="M40" i="4"/>
  <c r="K40" i="4"/>
  <c r="L40" i="4"/>
  <c r="M62" i="4"/>
  <c r="K62" i="4"/>
  <c r="L62" i="4"/>
  <c r="L75" i="4"/>
  <c r="M75" i="4"/>
  <c r="K75" i="4"/>
  <c r="T87" i="4"/>
  <c r="M87" i="4"/>
  <c r="K87" i="4"/>
  <c r="L87" i="4"/>
  <c r="K48" i="4"/>
  <c r="L48" i="4"/>
  <c r="M48" i="4"/>
  <c r="R87" i="4"/>
  <c r="S87" i="4"/>
  <c r="Q87" i="4"/>
  <c r="E39" i="4"/>
  <c r="E33" i="4"/>
  <c r="E5" i="4"/>
  <c r="E13" i="4"/>
  <c r="E45" i="4"/>
  <c r="E15" i="4"/>
  <c r="P45" i="4" l="1"/>
  <c r="N45" i="4"/>
  <c r="O45" i="4"/>
  <c r="P39" i="4"/>
  <c r="N39" i="4"/>
  <c r="O39" i="4"/>
  <c r="P15" i="4"/>
  <c r="Q18" i="19" s="1"/>
  <c r="N15" i="4"/>
  <c r="O15" i="4"/>
  <c r="P33" i="4"/>
  <c r="O33" i="4"/>
  <c r="N33" i="4"/>
  <c r="O13" i="4"/>
  <c r="P13" i="4"/>
  <c r="N13" i="4"/>
  <c r="P5" i="4"/>
  <c r="Q13" i="19" s="1"/>
  <c r="N5" i="4"/>
  <c r="O5" i="4"/>
  <c r="P13" i="19" s="1"/>
  <c r="M5" i="4"/>
  <c r="K5" i="4"/>
  <c r="L5" i="4"/>
  <c r="L33" i="4"/>
  <c r="M33" i="4"/>
  <c r="K33" i="4"/>
  <c r="K13" i="4"/>
  <c r="L13" i="4"/>
  <c r="M13" i="4"/>
  <c r="R15" i="4"/>
  <c r="L15" i="4"/>
  <c r="M15" i="4"/>
  <c r="K15" i="4"/>
  <c r="M18" i="19" s="1"/>
  <c r="T45" i="4"/>
  <c r="M45" i="4"/>
  <c r="K45" i="4"/>
  <c r="L45" i="4"/>
  <c r="M39" i="4"/>
  <c r="K39" i="4"/>
  <c r="L39" i="4"/>
  <c r="Q45" i="4"/>
  <c r="R45" i="4"/>
  <c r="T15" i="4"/>
  <c r="S15" i="4"/>
  <c r="S45" i="4"/>
  <c r="Q15" i="4"/>
  <c r="E32" i="4"/>
  <c r="P18" i="19" l="1"/>
  <c r="Y18" i="19"/>
  <c r="Z18" i="19" s="1"/>
  <c r="U18" i="19"/>
  <c r="M14" i="19"/>
  <c r="S18" i="19"/>
  <c r="W18" i="19"/>
  <c r="N18" i="19"/>
  <c r="O18" i="19" s="1"/>
  <c r="M13" i="19"/>
  <c r="M26" i="16"/>
  <c r="O26" i="16"/>
  <c r="W26" i="16"/>
  <c r="K26" i="16"/>
  <c r="L26" i="16" s="1"/>
  <c r="N13" i="19"/>
  <c r="O13" i="19" s="1"/>
  <c r="N26" i="16"/>
  <c r="Q26" i="16"/>
  <c r="O21" i="16"/>
  <c r="S26" i="16"/>
  <c r="M21" i="16"/>
  <c r="U26" i="16"/>
  <c r="N21" i="16"/>
  <c r="P32" i="4"/>
  <c r="O18" i="16" s="1"/>
  <c r="N32" i="4"/>
  <c r="O32" i="4"/>
  <c r="N18" i="16" s="1"/>
  <c r="R32" i="4"/>
  <c r="S18" i="16" s="1"/>
  <c r="M32" i="4"/>
  <c r="K32" i="4"/>
  <c r="M18" i="16" s="1"/>
  <c r="L32" i="4"/>
  <c r="K18" i="16" s="1"/>
  <c r="L18" i="16" s="1"/>
  <c r="Q32" i="4"/>
  <c r="Q18" i="16" s="1"/>
  <c r="S32" i="4"/>
  <c r="U18" i="16" s="1"/>
  <c r="T32" i="4"/>
  <c r="W18" i="16" s="1"/>
  <c r="E55" i="4"/>
  <c r="E52" i="4"/>
  <c r="X26" i="16" l="1"/>
  <c r="T18" i="19"/>
  <c r="X18" i="19"/>
  <c r="V18" i="19"/>
  <c r="R18" i="19"/>
  <c r="R26" i="16"/>
  <c r="X18" i="16"/>
  <c r="T26" i="16"/>
  <c r="V26" i="16"/>
  <c r="P26" i="16"/>
  <c r="R18" i="16"/>
  <c r="T18" i="16"/>
  <c r="V18" i="16"/>
  <c r="P18" i="16"/>
  <c r="P52" i="4"/>
  <c r="N52" i="4"/>
  <c r="O52" i="4"/>
  <c r="O64" i="4"/>
  <c r="P64" i="4"/>
  <c r="N64" i="4"/>
  <c r="O55" i="4"/>
  <c r="P55" i="4"/>
  <c r="N55" i="4"/>
  <c r="Q52" i="4"/>
  <c r="M52" i="4"/>
  <c r="K52" i="4"/>
  <c r="L52" i="4"/>
  <c r="S55" i="4"/>
  <c r="L55" i="4"/>
  <c r="M55" i="4"/>
  <c r="K55" i="4"/>
  <c r="Q64" i="4"/>
  <c r="M64" i="4"/>
  <c r="K64" i="4"/>
  <c r="L64" i="4"/>
  <c r="Q55" i="4"/>
  <c r="R52" i="4"/>
  <c r="T55" i="4"/>
  <c r="R55" i="4"/>
  <c r="S52" i="4"/>
  <c r="W10" i="19" s="1"/>
  <c r="R64" i="4"/>
  <c r="S64" i="4"/>
  <c r="T52" i="4"/>
  <c r="Y10" i="19" s="1"/>
  <c r="T64" i="4"/>
  <c r="E82" i="4"/>
  <c r="E74" i="4"/>
  <c r="E73" i="4"/>
  <c r="E43" i="4"/>
  <c r="S10" i="19" l="1"/>
  <c r="N10" i="19"/>
  <c r="O10" i="19" s="1"/>
  <c r="Q10" i="19"/>
  <c r="M10" i="19"/>
  <c r="Z10" i="19" s="1"/>
  <c r="U10" i="19"/>
  <c r="P10" i="19"/>
  <c r="U19" i="16"/>
  <c r="W19" i="16"/>
  <c r="O19" i="16"/>
  <c r="M19" i="16"/>
  <c r="S19" i="16"/>
  <c r="N19" i="16"/>
  <c r="Q19" i="16"/>
  <c r="K82" i="4"/>
  <c r="P82" i="4"/>
  <c r="N82" i="4"/>
  <c r="O82" i="4"/>
  <c r="P74" i="4"/>
  <c r="N74" i="4"/>
  <c r="O74" i="4"/>
  <c r="O43" i="4"/>
  <c r="P43" i="4"/>
  <c r="N43" i="4"/>
  <c r="O73" i="4"/>
  <c r="P73" i="4"/>
  <c r="N73" i="4"/>
  <c r="T74" i="4"/>
  <c r="K74" i="4"/>
  <c r="K43" i="4"/>
  <c r="K73" i="4"/>
  <c r="T82" i="4"/>
  <c r="T73" i="4"/>
  <c r="T43" i="4"/>
  <c r="M16" i="19" l="1"/>
  <c r="Y15" i="19"/>
  <c r="Y16" i="19"/>
  <c r="V10" i="19"/>
  <c r="R10" i="19"/>
  <c r="X10" i="19"/>
  <c r="M15" i="19"/>
  <c r="T10" i="19"/>
  <c r="X19" i="16"/>
  <c r="W22" i="16"/>
  <c r="M22" i="16"/>
  <c r="T19" i="16"/>
  <c r="R19" i="16"/>
  <c r="V19" i="16"/>
  <c r="P19" i="16"/>
  <c r="Z16" i="19" l="1"/>
  <c r="Z15" i="19"/>
  <c r="X22" i="16"/>
  <c r="P69" i="4"/>
  <c r="O6" i="16" s="1"/>
  <c r="O69" i="4"/>
  <c r="N69" i="4"/>
  <c r="Q69" i="4"/>
  <c r="L69" i="4"/>
  <c r="M69" i="4"/>
  <c r="K69" i="4"/>
  <c r="Q6" i="16"/>
  <c r="K6" i="16"/>
  <c r="R69" i="4"/>
  <c r="S6" i="16" s="1"/>
  <c r="S69" i="4"/>
  <c r="U6" i="16" s="1"/>
  <c r="T69" i="4"/>
  <c r="W6" i="16" s="1"/>
  <c r="M6" i="16" l="1"/>
  <c r="X6" i="16" s="1"/>
  <c r="M7" i="19"/>
  <c r="L6" i="16"/>
  <c r="R6" i="16"/>
  <c r="N6" i="16"/>
  <c r="T6" i="16"/>
  <c r="P6" i="16"/>
  <c r="V6" i="16"/>
  <c r="O38" i="4" l="1"/>
  <c r="P38" i="4"/>
  <c r="N38" i="4"/>
  <c r="T38" i="4"/>
  <c r="L38" i="4"/>
  <c r="M38" i="4"/>
  <c r="M7" i="16"/>
  <c r="Q38" i="4"/>
  <c r="R38" i="4"/>
  <c r="S38" i="4"/>
  <c r="E44" i="4"/>
  <c r="E25" i="4"/>
  <c r="E17" i="4"/>
  <c r="U7" i="16" l="1"/>
  <c r="W7" i="19"/>
  <c r="O7" i="16"/>
  <c r="Q7" i="19"/>
  <c r="K7" i="16"/>
  <c r="L7" i="16" s="1"/>
  <c r="N7" i="19"/>
  <c r="N7" i="16"/>
  <c r="P7" i="19"/>
  <c r="S7" i="16"/>
  <c r="U7" i="19"/>
  <c r="Q7" i="16"/>
  <c r="S7" i="19"/>
  <c r="W7" i="16"/>
  <c r="X7" i="16" s="1"/>
  <c r="Y7" i="19"/>
  <c r="P44" i="4"/>
  <c r="N44" i="4"/>
  <c r="O44" i="4"/>
  <c r="P25" i="4"/>
  <c r="N25" i="4"/>
  <c r="O25" i="4"/>
  <c r="P17" i="4"/>
  <c r="N17" i="4"/>
  <c r="O17" i="4"/>
  <c r="Q25" i="4"/>
  <c r="K25" i="4"/>
  <c r="M25" i="4"/>
  <c r="L25" i="4"/>
  <c r="T17" i="4"/>
  <c r="L17" i="4"/>
  <c r="M17" i="4"/>
  <c r="K17" i="4"/>
  <c r="S44" i="4"/>
  <c r="L44" i="4"/>
  <c r="M44" i="4"/>
  <c r="K44" i="4"/>
  <c r="R25" i="4"/>
  <c r="T25" i="4"/>
  <c r="S25" i="4"/>
  <c r="T44" i="4"/>
  <c r="Q44" i="4"/>
  <c r="R44" i="4"/>
  <c r="T7" i="16" l="1"/>
  <c r="M10" i="16"/>
  <c r="P7" i="16"/>
  <c r="V7" i="19"/>
  <c r="N10" i="16"/>
  <c r="R7" i="16"/>
  <c r="T7" i="19"/>
  <c r="X7" i="19"/>
  <c r="R7" i="19"/>
  <c r="Z7" i="19"/>
  <c r="K10" i="16"/>
  <c r="L10" i="16" s="1"/>
  <c r="O10" i="16"/>
  <c r="V7" i="16"/>
  <c r="O7" i="19"/>
  <c r="W10" i="16"/>
  <c r="S17" i="4"/>
  <c r="U10" i="16" s="1"/>
  <c r="X10" i="16" l="1"/>
  <c r="R17" i="4"/>
  <c r="S10" i="16" s="1"/>
  <c r="Q17" i="4"/>
  <c r="Q10" i="16" s="1"/>
  <c r="T10" i="16" l="1"/>
  <c r="R10" i="16"/>
  <c r="P10" i="16"/>
  <c r="V10" i="16"/>
  <c r="E30" i="4"/>
  <c r="E12" i="4"/>
  <c r="O12" i="4" l="1"/>
  <c r="P12" i="4"/>
  <c r="N12" i="4"/>
  <c r="O30" i="4"/>
  <c r="P30" i="4"/>
  <c r="N30" i="4"/>
  <c r="R12" i="4"/>
  <c r="M12" i="4"/>
  <c r="K12" i="4"/>
  <c r="L12" i="4"/>
  <c r="T30" i="4"/>
  <c r="M30" i="4"/>
  <c r="K30" i="4"/>
  <c r="L30" i="4"/>
  <c r="S12" i="4"/>
  <c r="Q30" i="4"/>
  <c r="R30" i="4"/>
  <c r="S30" i="4"/>
  <c r="T12" i="4"/>
  <c r="W15" i="16" s="1"/>
  <c r="Q12" i="4"/>
  <c r="Q15" i="16" s="1"/>
  <c r="N15" i="16" l="1"/>
  <c r="U15" i="16"/>
  <c r="S15" i="16"/>
  <c r="K15" i="16"/>
  <c r="L15" i="16" s="1"/>
  <c r="O15" i="16"/>
  <c r="M15" i="16"/>
  <c r="X15" i="16" s="1"/>
  <c r="T81" i="4"/>
  <c r="T79" i="4"/>
  <c r="T75" i="4"/>
  <c r="T77" i="4"/>
  <c r="T72" i="4"/>
  <c r="T67" i="4"/>
  <c r="T62" i="4"/>
  <c r="T65" i="4"/>
  <c r="T54" i="4"/>
  <c r="T53" i="4"/>
  <c r="T40" i="4"/>
  <c r="T48" i="4"/>
  <c r="T39" i="4"/>
  <c r="T33" i="4"/>
  <c r="T5" i="4"/>
  <c r="T13" i="4"/>
  <c r="E21" i="4"/>
  <c r="K21" i="4" s="1"/>
  <c r="M16" i="16" s="1"/>
  <c r="Y13" i="19" l="1"/>
  <c r="Z13" i="19" s="1"/>
  <c r="Y14" i="19"/>
  <c r="Z14" i="19" s="1"/>
  <c r="R15" i="16"/>
  <c r="W21" i="16"/>
  <c r="X21" i="16" s="1"/>
  <c r="T15" i="16"/>
  <c r="V15" i="16"/>
  <c r="P15" i="16"/>
  <c r="S21" i="4"/>
  <c r="U16" i="16" s="1"/>
  <c r="Q21" i="4"/>
  <c r="Q16" i="16" s="1"/>
  <c r="N21" i="4"/>
  <c r="T21" i="4"/>
  <c r="W16" i="16" s="1"/>
  <c r="X16" i="16" s="1"/>
  <c r="O21" i="4"/>
  <c r="N16" i="16" s="1"/>
  <c r="M21" i="4"/>
  <c r="R21" i="4"/>
  <c r="S16" i="16" s="1"/>
  <c r="P21" i="4"/>
  <c r="O16" i="16" s="1"/>
  <c r="L21" i="4"/>
  <c r="K16" i="16" s="1"/>
  <c r="L16" i="16" s="1"/>
  <c r="E46" i="4"/>
  <c r="E42" i="4"/>
  <c r="E31" i="4"/>
  <c r="E23" i="4"/>
  <c r="E9" i="4"/>
  <c r="T31" i="4" l="1"/>
  <c r="P31" i="4"/>
  <c r="L31" i="4"/>
  <c r="S31" i="4"/>
  <c r="O31" i="4"/>
  <c r="K31" i="4"/>
  <c r="R31" i="4"/>
  <c r="N31" i="4"/>
  <c r="Q31" i="4"/>
  <c r="M31" i="4"/>
  <c r="R23" i="4"/>
  <c r="N23" i="4"/>
  <c r="Q23" i="4"/>
  <c r="M23" i="4"/>
  <c r="T23" i="4"/>
  <c r="P23" i="4"/>
  <c r="L23" i="4"/>
  <c r="S23" i="4"/>
  <c r="O23" i="4"/>
  <c r="K23" i="4"/>
  <c r="R42" i="4"/>
  <c r="N42" i="4"/>
  <c r="Q42" i="4"/>
  <c r="M42" i="4"/>
  <c r="T42" i="4"/>
  <c r="P42" i="4"/>
  <c r="L42" i="4"/>
  <c r="S42" i="4"/>
  <c r="O42" i="4"/>
  <c r="K42" i="4"/>
  <c r="T9" i="4"/>
  <c r="P9" i="4"/>
  <c r="L9" i="4"/>
  <c r="S9" i="4"/>
  <c r="O9" i="4"/>
  <c r="K9" i="4"/>
  <c r="R9" i="4"/>
  <c r="N9" i="4"/>
  <c r="Q9" i="4"/>
  <c r="M9" i="4"/>
  <c r="T46" i="4"/>
  <c r="P46" i="4"/>
  <c r="L46" i="4"/>
  <c r="S46" i="4"/>
  <c r="O46" i="4"/>
  <c r="K46" i="4"/>
  <c r="R46" i="4"/>
  <c r="N46" i="4"/>
  <c r="Q46" i="4"/>
  <c r="M46" i="4"/>
  <c r="R16" i="16"/>
  <c r="V16" i="16"/>
  <c r="P16" i="16"/>
  <c r="T16" i="16"/>
  <c r="W13" i="16" l="1"/>
  <c r="M13" i="16"/>
  <c r="O13" i="16"/>
  <c r="N13" i="16"/>
  <c r="E29" i="4"/>
  <c r="E6" i="4"/>
  <c r="E18" i="4"/>
  <c r="E8" i="4"/>
  <c r="X13" i="16" l="1"/>
  <c r="O18" i="4"/>
  <c r="P18" i="4"/>
  <c r="N18" i="4"/>
  <c r="P8" i="4"/>
  <c r="O12" i="16" s="1"/>
  <c r="N8" i="4"/>
  <c r="O8" i="4"/>
  <c r="N12" i="16" s="1"/>
  <c r="O6" i="4"/>
  <c r="P6" i="4"/>
  <c r="N6" i="4"/>
  <c r="P29" i="4"/>
  <c r="O29" i="4"/>
  <c r="N29" i="4"/>
  <c r="M18" i="4"/>
  <c r="K18" i="4"/>
  <c r="L18" i="4"/>
  <c r="T6" i="4"/>
  <c r="M6" i="4"/>
  <c r="L6" i="4"/>
  <c r="K6" i="4"/>
  <c r="T8" i="4"/>
  <c r="W12" i="16" s="1"/>
  <c r="L8" i="4"/>
  <c r="M8" i="4"/>
  <c r="K8" i="4"/>
  <c r="L29" i="4"/>
  <c r="M29" i="4"/>
  <c r="K29" i="4"/>
  <c r="T18" i="4"/>
  <c r="S18" i="4"/>
  <c r="R18" i="4"/>
  <c r="Q18" i="4"/>
  <c r="S8" i="4"/>
  <c r="R8" i="4"/>
  <c r="Q8" i="4"/>
  <c r="M12" i="19" l="1"/>
  <c r="O14" i="16"/>
  <c r="M11" i="19"/>
  <c r="Q12" i="16"/>
  <c r="K12" i="16"/>
  <c r="L12" i="16" s="1"/>
  <c r="M12" i="16"/>
  <c r="S12" i="16"/>
  <c r="U12" i="16"/>
  <c r="K14" i="16"/>
  <c r="L14" i="16" s="1"/>
  <c r="M14" i="16"/>
  <c r="N14" i="16"/>
  <c r="T29" i="4"/>
  <c r="W14" i="16" s="1"/>
  <c r="W32" i="16" s="1"/>
  <c r="S29" i="4"/>
  <c r="R29" i="4"/>
  <c r="Q29" i="4"/>
  <c r="S6" i="4"/>
  <c r="R6" i="4"/>
  <c r="Q6" i="4"/>
  <c r="T12" i="16" l="1"/>
  <c r="Y12" i="19"/>
  <c r="Z12" i="19" s="1"/>
  <c r="M32" i="19"/>
  <c r="U14" i="16"/>
  <c r="Y11" i="19"/>
  <c r="X12" i="16"/>
  <c r="M32" i="16"/>
  <c r="X32" i="16" s="1"/>
  <c r="V12" i="16"/>
  <c r="R12" i="16"/>
  <c r="Q14" i="16"/>
  <c r="P12" i="16"/>
  <c r="X14" i="16"/>
  <c r="S14" i="16"/>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157" i="4"/>
  <c r="U158"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6" i="4"/>
  <c r="Y32" i="19" l="1"/>
  <c r="Z32" i="19" s="1"/>
  <c r="Z11" i="19"/>
  <c r="T14" i="16"/>
  <c r="V14" i="16"/>
  <c r="P14" i="16"/>
  <c r="R14" i="16"/>
  <c r="I31" i="5"/>
  <c r="H31" i="5"/>
  <c r="G31" i="5"/>
  <c r="F31" i="5"/>
  <c r="E31" i="5"/>
  <c r="I30" i="5"/>
  <c r="H30" i="5"/>
  <c r="G30" i="5"/>
  <c r="F30" i="5"/>
  <c r="E30" i="5"/>
  <c r="I29" i="5"/>
  <c r="H29" i="5"/>
  <c r="G29" i="5"/>
  <c r="F29" i="5"/>
  <c r="E29" i="5"/>
  <c r="I28" i="5"/>
  <c r="H28" i="5"/>
  <c r="G28" i="5"/>
  <c r="F28" i="5"/>
  <c r="E28" i="5"/>
  <c r="I27" i="5"/>
  <c r="H27" i="5"/>
  <c r="G27" i="5"/>
  <c r="F27" i="5"/>
  <c r="E27" i="5"/>
  <c r="I26" i="5"/>
  <c r="H26" i="5"/>
  <c r="G26" i="5"/>
  <c r="F26" i="5"/>
  <c r="E26" i="5"/>
  <c r="I25" i="5"/>
  <c r="H25" i="5"/>
  <c r="G25" i="5"/>
  <c r="F25" i="5"/>
  <c r="E25" i="5"/>
  <c r="I24" i="5"/>
  <c r="H24" i="5"/>
  <c r="G24" i="5"/>
  <c r="F24" i="5"/>
  <c r="E24" i="5"/>
  <c r="I23" i="5"/>
  <c r="H23" i="5"/>
  <c r="G23" i="5"/>
  <c r="F23" i="5"/>
  <c r="E23" i="5"/>
  <c r="I22" i="5"/>
  <c r="H22" i="5"/>
  <c r="G22" i="5"/>
  <c r="F22" i="5"/>
  <c r="E22" i="5"/>
  <c r="I21" i="5"/>
  <c r="H21" i="5"/>
  <c r="G21" i="5"/>
  <c r="F21" i="5"/>
  <c r="E21" i="5"/>
  <c r="I20" i="5"/>
  <c r="H20" i="5"/>
  <c r="G20" i="5"/>
  <c r="F20" i="5"/>
  <c r="E20" i="5"/>
  <c r="I19" i="5"/>
  <c r="H19" i="5"/>
  <c r="G19" i="5"/>
  <c r="F19" i="5"/>
  <c r="E19" i="5"/>
  <c r="I18" i="5"/>
  <c r="H18" i="5"/>
  <c r="G18" i="5"/>
  <c r="F18" i="5"/>
  <c r="E18" i="5"/>
  <c r="I17" i="5"/>
  <c r="H17" i="5"/>
  <c r="G17" i="5"/>
  <c r="F17" i="5"/>
  <c r="E17" i="5"/>
  <c r="I16" i="5"/>
  <c r="H16" i="5"/>
  <c r="G16" i="5"/>
  <c r="F16" i="5"/>
  <c r="E16" i="5"/>
  <c r="I15" i="5"/>
  <c r="H15" i="5"/>
  <c r="G15" i="5"/>
  <c r="F15" i="5"/>
  <c r="E15" i="5"/>
  <c r="I14" i="5"/>
  <c r="H14" i="5"/>
  <c r="G14" i="5"/>
  <c r="F14" i="5"/>
  <c r="E14" i="5"/>
  <c r="I13" i="5"/>
  <c r="H13" i="5"/>
  <c r="G13" i="5"/>
  <c r="F13" i="5"/>
  <c r="E13" i="5"/>
  <c r="I12" i="5"/>
  <c r="H12" i="5"/>
  <c r="G12" i="5"/>
  <c r="F12" i="5"/>
  <c r="E12" i="5"/>
  <c r="I11" i="5"/>
  <c r="H11" i="5"/>
  <c r="G11" i="5"/>
  <c r="F11" i="5"/>
  <c r="E11" i="5"/>
  <c r="I10" i="5"/>
  <c r="H10" i="5"/>
  <c r="G10" i="5"/>
  <c r="F10" i="5"/>
  <c r="E10" i="5"/>
  <c r="I9" i="5"/>
  <c r="H9" i="5"/>
  <c r="G9" i="5"/>
  <c r="F9" i="5"/>
  <c r="E9" i="5"/>
  <c r="I8" i="5"/>
  <c r="H8" i="5"/>
  <c r="G8" i="5"/>
  <c r="F8" i="5"/>
  <c r="E8" i="5"/>
  <c r="I7" i="5"/>
  <c r="H7" i="5"/>
  <c r="G7" i="5"/>
  <c r="F7" i="5"/>
  <c r="E7" i="5"/>
  <c r="I6" i="5"/>
  <c r="H6" i="5"/>
  <c r="G6" i="5"/>
  <c r="F6" i="5"/>
  <c r="E6" i="5"/>
  <c r="J16" i="5" l="1"/>
  <c r="J20" i="5"/>
  <c r="J24" i="5"/>
  <c r="J28" i="5"/>
  <c r="H32" i="5"/>
  <c r="J12" i="5"/>
  <c r="J17" i="5"/>
  <c r="J21" i="5"/>
  <c r="J25" i="5"/>
  <c r="J29" i="5"/>
  <c r="J14" i="5"/>
  <c r="J18" i="5"/>
  <c r="J22" i="5"/>
  <c r="J26" i="5"/>
  <c r="J30" i="5"/>
  <c r="J15" i="5"/>
  <c r="J19" i="5"/>
  <c r="J23" i="5"/>
  <c r="J27" i="5"/>
  <c r="J31" i="5"/>
  <c r="E32" i="5"/>
  <c r="I32" i="5"/>
  <c r="J10" i="5"/>
  <c r="F32" i="5"/>
  <c r="J7" i="5"/>
  <c r="J13" i="5"/>
  <c r="J6" i="5"/>
  <c r="G32" i="5"/>
  <c r="J8" i="5"/>
  <c r="J9" i="5"/>
  <c r="J11" i="5"/>
  <c r="S27" i="5"/>
  <c r="W28" i="5" l="1"/>
  <c r="V28" i="5"/>
  <c r="Q27" i="5"/>
  <c r="W23" i="5"/>
  <c r="L8" i="5"/>
  <c r="M8" i="5" s="1"/>
  <c r="K23" i="5"/>
  <c r="O28" i="5"/>
  <c r="Q28" i="5"/>
  <c r="K28" i="5"/>
  <c r="S28" i="5"/>
  <c r="N28" i="5"/>
  <c r="U28" i="5"/>
  <c r="W27" i="5"/>
  <c r="L28" i="5"/>
  <c r="M28" i="5" s="1"/>
  <c r="O27" i="5"/>
  <c r="V27" i="5" s="1"/>
  <c r="L27" i="5"/>
  <c r="M27" i="5" s="1"/>
  <c r="K27" i="5"/>
  <c r="U27" i="5"/>
  <c r="N27" i="5"/>
  <c r="J32" i="5"/>
  <c r="W8" i="5"/>
  <c r="O8" i="5"/>
  <c r="V8" i="5" s="1"/>
  <c r="U8" i="5"/>
  <c r="N8" i="5"/>
  <c r="S8" i="5"/>
  <c r="Q8" i="5"/>
  <c r="K8" i="5"/>
  <c r="X28" i="5" l="1"/>
  <c r="X23" i="5"/>
  <c r="P27" i="5"/>
  <c r="P28" i="5"/>
  <c r="R28" i="5"/>
  <c r="T28" i="5"/>
  <c r="X27" i="5"/>
  <c r="R8" i="5"/>
  <c r="R27" i="5"/>
  <c r="T27" i="5"/>
  <c r="P8" i="5"/>
  <c r="T8" i="5"/>
  <c r="X8" i="5"/>
  <c r="K9" i="5" l="1"/>
  <c r="W9" i="5"/>
  <c r="X9" i="5" l="1"/>
  <c r="K21" i="5" l="1"/>
  <c r="W21" i="5"/>
  <c r="X21" i="5" l="1"/>
  <c r="W64" i="4" l="1"/>
  <c r="V55" i="4"/>
  <c r="U19" i="5"/>
  <c r="W52" i="4"/>
  <c r="V52" i="4"/>
  <c r="N19" i="5"/>
  <c r="W19" i="5"/>
  <c r="O19" i="5" l="1"/>
  <c r="U52" i="4"/>
  <c r="W55" i="4"/>
  <c r="U64" i="4"/>
  <c r="U55" i="4"/>
  <c r="V64" i="4"/>
  <c r="K19" i="5"/>
  <c r="X19" i="5" s="1"/>
  <c r="Q19" i="5"/>
  <c r="S19" i="5"/>
  <c r="V19" i="5" l="1"/>
  <c r="W35" i="4"/>
  <c r="W11" i="4"/>
  <c r="U35" i="4"/>
  <c r="V11" i="4"/>
  <c r="W24" i="5"/>
  <c r="N24" i="5"/>
  <c r="U24" i="5"/>
  <c r="V35" i="4"/>
  <c r="O24" i="5"/>
  <c r="U11" i="4"/>
  <c r="L24" i="5"/>
  <c r="M24" i="5" s="1"/>
  <c r="K24" i="5"/>
  <c r="T19" i="5"/>
  <c r="S24" i="5"/>
  <c r="Q24" i="5"/>
  <c r="R19" i="5"/>
  <c r="P19" i="5"/>
  <c r="W45" i="4"/>
  <c r="V45" i="4"/>
  <c r="W15" i="4"/>
  <c r="N26" i="5"/>
  <c r="W26" i="5"/>
  <c r="V24" i="5" l="1"/>
  <c r="X24" i="5"/>
  <c r="O26" i="5"/>
  <c r="U15" i="4"/>
  <c r="V15" i="4"/>
  <c r="U45" i="4"/>
  <c r="L26" i="5"/>
  <c r="M26" i="5" s="1"/>
  <c r="R24" i="5"/>
  <c r="Q26" i="5"/>
  <c r="K26" i="5"/>
  <c r="X26" i="5" s="1"/>
  <c r="S26" i="5"/>
  <c r="P24" i="5"/>
  <c r="U26" i="5"/>
  <c r="T24" i="5"/>
  <c r="X45" i="4"/>
  <c r="U7" i="5"/>
  <c r="N7" i="5"/>
  <c r="L7" i="5"/>
  <c r="M7" i="5" s="1"/>
  <c r="W7" i="5"/>
  <c r="K7" i="5"/>
  <c r="V26" i="5" l="1"/>
  <c r="V38" i="4"/>
  <c r="O7" i="5"/>
  <c r="U38" i="4"/>
  <c r="W38" i="4"/>
  <c r="X7" i="5"/>
  <c r="P26" i="5"/>
  <c r="T26" i="5"/>
  <c r="Q7" i="5"/>
  <c r="S7" i="5"/>
  <c r="R26" i="5"/>
  <c r="U29" i="5"/>
  <c r="N29" i="5"/>
  <c r="W29" i="5"/>
  <c r="V7" i="5" l="1"/>
  <c r="U50" i="4"/>
  <c r="L29" i="5"/>
  <c r="M29" i="5" s="1"/>
  <c r="V50" i="4"/>
  <c r="W50" i="4"/>
  <c r="V78" i="4"/>
  <c r="W78" i="4"/>
  <c r="U78" i="4"/>
  <c r="O29" i="5"/>
  <c r="T7" i="5"/>
  <c r="P7" i="5"/>
  <c r="Q29" i="5"/>
  <c r="K29" i="5"/>
  <c r="X29" i="5" s="1"/>
  <c r="S29" i="5"/>
  <c r="R7" i="5"/>
  <c r="U31" i="5"/>
  <c r="N31" i="5"/>
  <c r="L31" i="5"/>
  <c r="M31" i="5" s="1"/>
  <c r="W31" i="5"/>
  <c r="K31" i="5"/>
  <c r="V29" i="5" l="1"/>
  <c r="V63" i="4"/>
  <c r="W63" i="4"/>
  <c r="O31" i="5"/>
  <c r="U63" i="4"/>
  <c r="T29" i="5"/>
  <c r="X31" i="5"/>
  <c r="S31" i="5"/>
  <c r="R29" i="5"/>
  <c r="Q31" i="5"/>
  <c r="P29" i="5"/>
  <c r="L30" i="5"/>
  <c r="M30" i="5" s="1"/>
  <c r="K30" i="5"/>
  <c r="V31" i="5" l="1"/>
  <c r="V76" i="4"/>
  <c r="V71" i="4"/>
  <c r="V84" i="4"/>
  <c r="W71" i="4"/>
  <c r="W84" i="4"/>
  <c r="U71" i="4"/>
  <c r="U84" i="4"/>
  <c r="U76" i="4"/>
  <c r="W76" i="4"/>
  <c r="W30" i="5"/>
  <c r="X30" i="5" s="1"/>
  <c r="N30" i="5"/>
  <c r="R31" i="5"/>
  <c r="U30" i="5"/>
  <c r="O30" i="5"/>
  <c r="P31" i="5"/>
  <c r="Q30" i="5"/>
  <c r="S30" i="5"/>
  <c r="T31" i="5"/>
  <c r="V30" i="5" l="1"/>
  <c r="L20" i="5"/>
  <c r="M20" i="5" s="1"/>
  <c r="W24" i="4"/>
  <c r="U34" i="4"/>
  <c r="W51" i="4"/>
  <c r="U80" i="4"/>
  <c r="V22" i="4"/>
  <c r="W20" i="5"/>
  <c r="N20" i="5"/>
  <c r="V24" i="4"/>
  <c r="V51" i="4"/>
  <c r="V34" i="4"/>
  <c r="V80" i="4"/>
  <c r="W22" i="4"/>
  <c r="U24" i="4"/>
  <c r="W34" i="4"/>
  <c r="U51" i="4"/>
  <c r="W80" i="4"/>
  <c r="O20" i="5"/>
  <c r="U22" i="4"/>
  <c r="K20" i="5"/>
  <c r="T30" i="5"/>
  <c r="U20" i="5"/>
  <c r="R30" i="5"/>
  <c r="Q20" i="5"/>
  <c r="S20" i="5"/>
  <c r="P30" i="5"/>
  <c r="U25" i="5"/>
  <c r="N25" i="5"/>
  <c r="L25" i="5"/>
  <c r="M25" i="5" s="1"/>
  <c r="W25" i="5"/>
  <c r="K25" i="5"/>
  <c r="V20" i="5" l="1"/>
  <c r="W85" i="4"/>
  <c r="X20" i="5"/>
  <c r="V85" i="4"/>
  <c r="O25" i="5"/>
  <c r="U85" i="4"/>
  <c r="X25" i="5"/>
  <c r="P20" i="5"/>
  <c r="T20" i="5"/>
  <c r="Q25" i="5"/>
  <c r="S25" i="5"/>
  <c r="R20" i="5"/>
  <c r="U26" i="4"/>
  <c r="U66" i="4"/>
  <c r="U68" i="4"/>
  <c r="N17" i="5"/>
  <c r="W17" i="5"/>
  <c r="V25" i="5" l="1"/>
  <c r="L17" i="5"/>
  <c r="M17" i="5" s="1"/>
  <c r="V68" i="4"/>
  <c r="W68" i="4"/>
  <c r="W66" i="4"/>
  <c r="V66" i="4"/>
  <c r="V26" i="4"/>
  <c r="W26" i="4"/>
  <c r="K17" i="5"/>
  <c r="X17" i="5" s="1"/>
  <c r="V10" i="4"/>
  <c r="W10" i="4"/>
  <c r="O17" i="5"/>
  <c r="U10" i="4"/>
  <c r="P25" i="5"/>
  <c r="T25" i="5"/>
  <c r="Q17" i="5"/>
  <c r="S17" i="5"/>
  <c r="U17" i="5"/>
  <c r="R25" i="5"/>
  <c r="W18" i="5"/>
  <c r="K18" i="5"/>
  <c r="V17" i="5" l="1"/>
  <c r="T17" i="5"/>
  <c r="P17" i="5"/>
  <c r="X18" i="5"/>
  <c r="R17" i="5"/>
  <c r="U18" i="5"/>
  <c r="V32" i="4"/>
  <c r="N18" i="5"/>
  <c r="O18" i="5" l="1"/>
  <c r="U32" i="4"/>
  <c r="W32" i="4"/>
  <c r="S18" i="5"/>
  <c r="Q18" i="5"/>
  <c r="L18" i="5"/>
  <c r="M18" i="5" s="1"/>
  <c r="V18" i="5" l="1"/>
  <c r="R18" i="5"/>
  <c r="P18" i="5"/>
  <c r="T18" i="5"/>
  <c r="K22" i="5" l="1"/>
  <c r="W22" i="5"/>
  <c r="V69" i="4"/>
  <c r="D10" i="2"/>
  <c r="U58" i="4"/>
  <c r="W58" i="4" l="1"/>
  <c r="U69" i="4"/>
  <c r="W69" i="4"/>
  <c r="V58" i="4"/>
  <c r="X22" i="5"/>
  <c r="O6" i="5"/>
  <c r="P10" i="2"/>
  <c r="L6" i="5"/>
  <c r="Q6" i="5"/>
  <c r="W6" i="5"/>
  <c r="N6" i="5"/>
  <c r="U6" i="5"/>
  <c r="K6" i="5"/>
  <c r="S6" i="5"/>
  <c r="D9" i="2"/>
  <c r="P9" i="2"/>
  <c r="V29" i="4"/>
  <c r="V6" i="5" l="1"/>
  <c r="U29" i="4"/>
  <c r="W29" i="4"/>
  <c r="M6" i="5"/>
  <c r="O14" i="5"/>
  <c r="R6" i="5"/>
  <c r="P6" i="5"/>
  <c r="L14" i="5"/>
  <c r="M14" i="5" s="1"/>
  <c r="Q14" i="5"/>
  <c r="X6" i="5"/>
  <c r="K14" i="5"/>
  <c r="S14" i="5"/>
  <c r="W14" i="5"/>
  <c r="N14" i="5"/>
  <c r="U14" i="5"/>
  <c r="T6" i="5"/>
  <c r="U18" i="4"/>
  <c r="V8" i="4"/>
  <c r="V14" i="5" l="1"/>
  <c r="W8" i="4"/>
  <c r="N12" i="5"/>
  <c r="W12" i="5"/>
  <c r="U12" i="5"/>
  <c r="V18" i="4"/>
  <c r="U8" i="4"/>
  <c r="W18" i="4"/>
  <c r="O12" i="5"/>
  <c r="P14" i="5"/>
  <c r="K12" i="5"/>
  <c r="S12" i="5"/>
  <c r="T14" i="5"/>
  <c r="L12" i="5"/>
  <c r="M12" i="5" s="1"/>
  <c r="Q12" i="5"/>
  <c r="X14" i="5"/>
  <c r="R14" i="5"/>
  <c r="W44" i="4"/>
  <c r="U25" i="4"/>
  <c r="W17" i="4"/>
  <c r="V12" i="5" l="1"/>
  <c r="U17" i="4"/>
  <c r="W25" i="4"/>
  <c r="U44" i="4"/>
  <c r="V25" i="4"/>
  <c r="V17" i="4"/>
  <c r="V44" i="4"/>
  <c r="X12" i="5"/>
  <c r="L10" i="5"/>
  <c r="M10" i="5" s="1"/>
  <c r="O10" i="5"/>
  <c r="R12" i="5"/>
  <c r="T12" i="5"/>
  <c r="K10" i="5"/>
  <c r="S10" i="5"/>
  <c r="Q10" i="5"/>
  <c r="W10" i="5"/>
  <c r="N10" i="5"/>
  <c r="U10" i="5"/>
  <c r="P12" i="5"/>
  <c r="V30" i="4"/>
  <c r="U12" i="4"/>
  <c r="K15" i="5"/>
  <c r="V10" i="5" l="1"/>
  <c r="W30" i="4"/>
  <c r="S15" i="5"/>
  <c r="W12" i="4"/>
  <c r="U30" i="4"/>
  <c r="V12" i="4"/>
  <c r="L15" i="5"/>
  <c r="M15" i="5" s="1"/>
  <c r="R10" i="5"/>
  <c r="T10" i="5"/>
  <c r="W15" i="5"/>
  <c r="X15" i="5" s="1"/>
  <c r="U15" i="5"/>
  <c r="P10" i="5"/>
  <c r="N15" i="5"/>
  <c r="O15" i="5"/>
  <c r="Q15" i="5"/>
  <c r="X10" i="5"/>
  <c r="V21" i="4"/>
  <c r="V15" i="5" l="1"/>
  <c r="W21" i="4"/>
  <c r="U21" i="4"/>
  <c r="R15" i="5"/>
  <c r="P8" i="2"/>
  <c r="W16" i="5"/>
  <c r="N16" i="5"/>
  <c r="U16" i="5"/>
  <c r="P15" i="5"/>
  <c r="T15" i="5"/>
  <c r="L16" i="5"/>
  <c r="M16" i="5" s="1"/>
  <c r="Q16" i="5"/>
  <c r="S16" i="5"/>
  <c r="O16" i="5"/>
  <c r="K16" i="5"/>
  <c r="D8" i="2"/>
  <c r="P7" i="2"/>
  <c r="D7" i="2"/>
  <c r="V16" i="5" l="1"/>
  <c r="P16" i="5"/>
  <c r="X16" i="5"/>
  <c r="T16" i="5"/>
  <c r="K13" i="5"/>
  <c r="W13" i="5"/>
  <c r="R16" i="5"/>
  <c r="C7" i="2"/>
  <c r="C8" i="2"/>
  <c r="C9" i="2"/>
  <c r="C10" i="2"/>
  <c r="C6" i="2"/>
  <c r="X215" i="4"/>
  <c r="L215" i="4"/>
  <c r="X214" i="4"/>
  <c r="L214" i="4"/>
  <c r="X213" i="4"/>
  <c r="L213" i="4"/>
  <c r="X212" i="4"/>
  <c r="L212" i="4"/>
  <c r="X211" i="4"/>
  <c r="L211" i="4"/>
  <c r="X210" i="4"/>
  <c r="L210" i="4"/>
  <c r="X209" i="4"/>
  <c r="L209" i="4"/>
  <c r="X208" i="4"/>
  <c r="L208" i="4"/>
  <c r="X207" i="4"/>
  <c r="L207" i="4"/>
  <c r="X206" i="4"/>
  <c r="L206" i="4"/>
  <c r="X205" i="4"/>
  <c r="L205" i="4"/>
  <c r="X204" i="4"/>
  <c r="L204" i="4"/>
  <c r="X203" i="4"/>
  <c r="L203" i="4"/>
  <c r="X202" i="4"/>
  <c r="L202" i="4"/>
  <c r="X201" i="4"/>
  <c r="L201" i="4"/>
  <c r="X200" i="4"/>
  <c r="L200" i="4"/>
  <c r="X199" i="4"/>
  <c r="L199" i="4"/>
  <c r="X198" i="4"/>
  <c r="L198" i="4"/>
  <c r="X197" i="4"/>
  <c r="L197" i="4"/>
  <c r="X196" i="4"/>
  <c r="L196" i="4"/>
  <c r="X195" i="4"/>
  <c r="L195" i="4"/>
  <c r="X194" i="4"/>
  <c r="L194" i="4"/>
  <c r="X193" i="4"/>
  <c r="L193" i="4"/>
  <c r="X192" i="4"/>
  <c r="L192" i="4"/>
  <c r="X191" i="4"/>
  <c r="L191" i="4"/>
  <c r="X190" i="4"/>
  <c r="L190" i="4"/>
  <c r="X189" i="4"/>
  <c r="L189" i="4"/>
  <c r="X188" i="4"/>
  <c r="L188" i="4"/>
  <c r="X187" i="4"/>
  <c r="L187" i="4"/>
  <c r="X186" i="4"/>
  <c r="L186" i="4"/>
  <c r="X185" i="4"/>
  <c r="L185" i="4"/>
  <c r="X184" i="4"/>
  <c r="L184" i="4"/>
  <c r="X183" i="4"/>
  <c r="L183" i="4"/>
  <c r="X182" i="4"/>
  <c r="L182" i="4"/>
  <c r="X181" i="4"/>
  <c r="L181" i="4"/>
  <c r="X180" i="4"/>
  <c r="L180" i="4"/>
  <c r="X179" i="4"/>
  <c r="L179" i="4"/>
  <c r="X178" i="4"/>
  <c r="L178" i="4"/>
  <c r="X177" i="4"/>
  <c r="L177" i="4"/>
  <c r="X176" i="4"/>
  <c r="L176" i="4"/>
  <c r="X175" i="4"/>
  <c r="L175" i="4"/>
  <c r="X174" i="4"/>
  <c r="L174" i="4"/>
  <c r="X173" i="4"/>
  <c r="L173" i="4"/>
  <c r="X172" i="4"/>
  <c r="L172" i="4"/>
  <c r="X171" i="4"/>
  <c r="L171" i="4"/>
  <c r="X170" i="4"/>
  <c r="L170" i="4"/>
  <c r="X169" i="4"/>
  <c r="L169" i="4"/>
  <c r="X168" i="4"/>
  <c r="L168" i="4"/>
  <c r="X167" i="4"/>
  <c r="L167" i="4"/>
  <c r="X166" i="4"/>
  <c r="L166" i="4"/>
  <c r="X165" i="4"/>
  <c r="L165" i="4"/>
  <c r="X164" i="4"/>
  <c r="L164" i="4"/>
  <c r="X163" i="4"/>
  <c r="L163" i="4"/>
  <c r="X162" i="4"/>
  <c r="L162" i="4"/>
  <c r="X161" i="4"/>
  <c r="L161" i="4"/>
  <c r="X160" i="4"/>
  <c r="L160" i="4"/>
  <c r="X159" i="4"/>
  <c r="L159" i="4"/>
  <c r="X158" i="4"/>
  <c r="L158" i="4"/>
  <c r="X157" i="4"/>
  <c r="L157" i="4"/>
  <c r="X156" i="4"/>
  <c r="L156" i="4"/>
  <c r="X155" i="4"/>
  <c r="L155" i="4"/>
  <c r="X154" i="4"/>
  <c r="L154" i="4"/>
  <c r="X153" i="4"/>
  <c r="L153" i="4"/>
  <c r="X152" i="4"/>
  <c r="L152" i="4"/>
  <c r="X151" i="4"/>
  <c r="L151" i="4"/>
  <c r="X150" i="4"/>
  <c r="L150" i="4"/>
  <c r="X149" i="4"/>
  <c r="L149" i="4"/>
  <c r="X148" i="4"/>
  <c r="L148" i="4"/>
  <c r="X147" i="4"/>
  <c r="L147" i="4"/>
  <c r="X146" i="4"/>
  <c r="L146" i="4"/>
  <c r="X145" i="4"/>
  <c r="L145" i="4"/>
  <c r="X144" i="4"/>
  <c r="L144" i="4"/>
  <c r="X143" i="4"/>
  <c r="L143" i="4"/>
  <c r="X142" i="4"/>
  <c r="L142" i="4"/>
  <c r="X141" i="4"/>
  <c r="L141" i="4"/>
  <c r="X140" i="4"/>
  <c r="L140" i="4"/>
  <c r="X139" i="4"/>
  <c r="L139" i="4"/>
  <c r="X138" i="4"/>
  <c r="L138" i="4"/>
  <c r="X137" i="4"/>
  <c r="L137" i="4"/>
  <c r="X136" i="4"/>
  <c r="L136" i="4"/>
  <c r="X135" i="4"/>
  <c r="L135" i="4"/>
  <c r="X134" i="4"/>
  <c r="L134" i="4"/>
  <c r="X133" i="4"/>
  <c r="L133" i="4"/>
  <c r="X132" i="4"/>
  <c r="L132" i="4"/>
  <c r="X131" i="4"/>
  <c r="L131" i="4"/>
  <c r="X130" i="4"/>
  <c r="L130" i="4"/>
  <c r="X129" i="4"/>
  <c r="L129" i="4"/>
  <c r="X128" i="4"/>
  <c r="L128" i="4"/>
  <c r="X127" i="4"/>
  <c r="L127" i="4"/>
  <c r="X126" i="4"/>
  <c r="L126" i="4"/>
  <c r="X125" i="4"/>
  <c r="L125" i="4"/>
  <c r="X124" i="4"/>
  <c r="L124" i="4"/>
  <c r="X123" i="4"/>
  <c r="L123" i="4"/>
  <c r="X122" i="4"/>
  <c r="L122" i="4"/>
  <c r="X121" i="4"/>
  <c r="L121" i="4"/>
  <c r="X120" i="4"/>
  <c r="L120" i="4"/>
  <c r="X119" i="4"/>
  <c r="L119" i="4"/>
  <c r="X118" i="4"/>
  <c r="L118" i="4"/>
  <c r="X117" i="4"/>
  <c r="L117" i="4"/>
  <c r="X116" i="4"/>
  <c r="L116" i="4"/>
  <c r="X115" i="4"/>
  <c r="L115" i="4"/>
  <c r="X114" i="4"/>
  <c r="L114" i="4"/>
  <c r="X113" i="4"/>
  <c r="L113" i="4"/>
  <c r="X112" i="4"/>
  <c r="L112" i="4"/>
  <c r="X111" i="4"/>
  <c r="L111" i="4"/>
  <c r="X110" i="4"/>
  <c r="L110" i="4"/>
  <c r="X109" i="4"/>
  <c r="L109" i="4"/>
  <c r="X108" i="4"/>
  <c r="L108" i="4"/>
  <c r="X107" i="4"/>
  <c r="L107" i="4"/>
  <c r="X106" i="4"/>
  <c r="L106" i="4"/>
  <c r="X105" i="4"/>
  <c r="L105" i="4"/>
  <c r="X104" i="4"/>
  <c r="L104" i="4"/>
  <c r="X103" i="4"/>
  <c r="L103" i="4"/>
  <c r="X102" i="4"/>
  <c r="L102" i="4"/>
  <c r="X101" i="4"/>
  <c r="L101" i="4"/>
  <c r="X100" i="4"/>
  <c r="L100" i="4"/>
  <c r="X99" i="4"/>
  <c r="L99" i="4"/>
  <c r="X98" i="4"/>
  <c r="L98" i="4"/>
  <c r="X97" i="4"/>
  <c r="L97" i="4"/>
  <c r="X96" i="4"/>
  <c r="L96" i="4"/>
  <c r="X95" i="4"/>
  <c r="L95" i="4"/>
  <c r="X94" i="4"/>
  <c r="L94" i="4"/>
  <c r="X93" i="4"/>
  <c r="L93" i="4"/>
  <c r="X92" i="4"/>
  <c r="L92" i="4"/>
  <c r="X91" i="4"/>
  <c r="L91" i="4"/>
  <c r="X90" i="4"/>
  <c r="L90" i="4"/>
  <c r="X89" i="4"/>
  <c r="K21" i="16"/>
  <c r="L21" i="16" s="1"/>
  <c r="X88" i="4"/>
  <c r="X86" i="4"/>
  <c r="X87" i="4"/>
  <c r="X83" i="4"/>
  <c r="X85" i="4"/>
  <c r="X69" i="4"/>
  <c r="X81" i="4"/>
  <c r="X82" i="4"/>
  <c r="X74" i="4"/>
  <c r="X73" i="4"/>
  <c r="X84" i="4"/>
  <c r="X80" i="4"/>
  <c r="AD79" i="4"/>
  <c r="X79" i="4"/>
  <c r="X78" i="4"/>
  <c r="AD75" i="4" a="1"/>
  <c r="AD75" i="4" s="1"/>
  <c r="AC75" i="4"/>
  <c r="AB75" i="4"/>
  <c r="X75" i="4"/>
  <c r="AA76" i="4"/>
  <c r="X76" i="4"/>
  <c r="X77" i="4"/>
  <c r="AA72" i="4"/>
  <c r="X72" i="4"/>
  <c r="X70" i="4"/>
  <c r="AD71" i="4"/>
  <c r="X71" i="4"/>
  <c r="X68" i="4"/>
  <c r="AA67" i="4"/>
  <c r="X67" i="4"/>
  <c r="X62" i="4"/>
  <c r="AA66" i="4" a="1"/>
  <c r="AA66" i="4" s="1"/>
  <c r="X66" i="4"/>
  <c r="X63" i="4"/>
  <c r="X61" i="4"/>
  <c r="X64" i="4"/>
  <c r="X59" i="4"/>
  <c r="X58" i="4"/>
  <c r="X60" i="4"/>
  <c r="AD65" i="4"/>
  <c r="X65" i="4"/>
  <c r="X54" i="4"/>
  <c r="X56" i="4"/>
  <c r="AD55" i="4" a="1"/>
  <c r="AD55" i="4" s="1"/>
  <c r="AC55" i="4"/>
  <c r="AB55" i="4"/>
  <c r="X55" i="4"/>
  <c r="AD57" i="4" a="1"/>
  <c r="AD57" i="4" s="1"/>
  <c r="AC57" i="4"/>
  <c r="AB57" i="4"/>
  <c r="X57" i="4"/>
  <c r="X52" i="4"/>
  <c r="AD53" i="4"/>
  <c r="X53" i="4"/>
  <c r="AD51" i="4" a="1"/>
  <c r="AD51" i="4" s="1"/>
  <c r="AC51" i="4"/>
  <c r="AB51" i="4"/>
  <c r="X51" i="4"/>
  <c r="X49" i="4"/>
  <c r="X46" i="4"/>
  <c r="AD50" i="4" a="1"/>
  <c r="AD50" i="4" s="1"/>
  <c r="AC50" i="4"/>
  <c r="AB50" i="4"/>
  <c r="X50" i="4"/>
  <c r="X47" i="4"/>
  <c r="X41" i="4"/>
  <c r="AA44" i="4"/>
  <c r="X44" i="4"/>
  <c r="X42" i="4"/>
  <c r="AA45" i="4"/>
  <c r="X43" i="4"/>
  <c r="X40" i="4"/>
  <c r="AD48" i="4" a="1"/>
  <c r="AD48" i="4" s="1"/>
  <c r="AC48" i="4"/>
  <c r="AB48" i="4"/>
  <c r="X48" i="4"/>
  <c r="X39" i="4"/>
  <c r="X38" i="4"/>
  <c r="X37" i="4"/>
  <c r="AA36" i="4"/>
  <c r="X36" i="4"/>
  <c r="AA35" i="4"/>
  <c r="X35" i="4"/>
  <c r="X34" i="4"/>
  <c r="X31" i="4"/>
  <c r="X32" i="4"/>
  <c r="AI32" i="4"/>
  <c r="X24" i="4"/>
  <c r="AD28" i="4"/>
  <c r="X28" i="4"/>
  <c r="X27" i="4"/>
  <c r="AA29" i="4"/>
  <c r="X29" i="4"/>
  <c r="X26" i="4"/>
  <c r="AB25" i="4"/>
  <c r="AA25" i="4"/>
  <c r="X25" i="4"/>
  <c r="X30" i="4"/>
  <c r="X33" i="4"/>
  <c r="AA23" i="4" a="1"/>
  <c r="AA23" i="4" s="1"/>
  <c r="X23" i="4"/>
  <c r="X21" i="4"/>
  <c r="AI21" i="4"/>
  <c r="X22" i="4"/>
  <c r="X20" i="4"/>
  <c r="AB18" i="4"/>
  <c r="X18" i="4"/>
  <c r="AA19" i="4"/>
  <c r="X19" i="4"/>
  <c r="X5" i="4"/>
  <c r="X11" i="4"/>
  <c r="AD15" i="4"/>
  <c r="X15" i="4"/>
  <c r="AI15" i="4"/>
  <c r="X7" i="4"/>
  <c r="AD14" i="4"/>
  <c r="X14" i="4"/>
  <c r="AD13" i="4" a="1"/>
  <c r="AD13" i="4" s="1"/>
  <c r="AC13" i="4"/>
  <c r="AB13" i="4"/>
  <c r="X13" i="4"/>
  <c r="AB17" i="4"/>
  <c r="X17" i="4"/>
  <c r="AB16" i="4"/>
  <c r="AA16" i="4"/>
  <c r="Z16" i="4"/>
  <c r="AD12" i="4" a="1"/>
  <c r="AD12" i="4" s="1"/>
  <c r="AC12" i="4"/>
  <c r="AB12" i="4"/>
  <c r="X12" i="4"/>
  <c r="X10" i="4"/>
  <c r="X9" i="4"/>
  <c r="X8" i="4"/>
  <c r="AI8" i="4"/>
  <c r="AD6" i="4"/>
  <c r="X6" i="4"/>
  <c r="B27" i="3"/>
  <c r="B26" i="3"/>
  <c r="B25" i="3"/>
  <c r="B24" i="3"/>
  <c r="B23" i="3"/>
  <c r="B22" i="3"/>
  <c r="B21" i="3"/>
  <c r="B20" i="3"/>
  <c r="B19" i="3"/>
  <c r="B18" i="3"/>
  <c r="B17" i="3"/>
  <c r="B16" i="3"/>
  <c r="B15" i="3"/>
  <c r="B14" i="3"/>
  <c r="B13" i="3"/>
  <c r="B12" i="3"/>
  <c r="B11" i="3"/>
  <c r="B10" i="3"/>
  <c r="B9" i="3"/>
  <c r="B8" i="3"/>
  <c r="B7" i="3"/>
  <c r="B6" i="3"/>
  <c r="B5" i="3"/>
  <c r="B4" i="3"/>
  <c r="B3" i="3"/>
  <c r="B2" i="3"/>
  <c r="B1" i="3"/>
  <c r="Q9" i="2"/>
  <c r="Q8" i="2"/>
  <c r="Q7" i="2"/>
  <c r="AA55" i="4"/>
  <c r="AA48" i="4"/>
  <c r="AA12" i="4"/>
  <c r="AA50" i="4"/>
  <c r="AA75" i="4"/>
  <c r="AA13" i="4"/>
  <c r="AA57" i="4"/>
  <c r="AA51" i="4"/>
  <c r="K19" i="16" l="1"/>
  <c r="L19" i="16" s="1"/>
  <c r="L19" i="5"/>
  <c r="M19" i="5" s="1"/>
  <c r="X13" i="5"/>
  <c r="D6" i="2"/>
  <c r="D11" i="2" s="1"/>
  <c r="K11" i="5"/>
  <c r="K32" i="5" s="1"/>
  <c r="P6" i="2"/>
  <c r="P11" i="2" s="1"/>
  <c r="W11" i="5"/>
  <c r="X16" i="4"/>
  <c r="AI34" i="4"/>
  <c r="AI44" i="4"/>
  <c r="AI50" i="4"/>
  <c r="AI17" i="4"/>
  <c r="AI26" i="4"/>
  <c r="AI30" i="4"/>
  <c r="AI18" i="4"/>
  <c r="AI76" i="4"/>
  <c r="AI51" i="4"/>
  <c r="AI68" i="4"/>
  <c r="AI84" i="4"/>
  <c r="AI25" i="4"/>
  <c r="AI6" i="4"/>
  <c r="AI10" i="4"/>
  <c r="AI11" i="4"/>
  <c r="AI66" i="4"/>
  <c r="AI78" i="4"/>
  <c r="AI24" i="4"/>
  <c r="AI71" i="4"/>
  <c r="AI80" i="4"/>
  <c r="AI12" i="4"/>
  <c r="AI29" i="4"/>
  <c r="AI35" i="4"/>
  <c r="AI45" i="4"/>
  <c r="Q10" i="2"/>
  <c r="C11" i="2"/>
  <c r="Q6" i="2" l="1"/>
  <c r="X11" i="5"/>
  <c r="W32" i="5"/>
  <c r="X32" i="5" s="1"/>
  <c r="Q11" i="2"/>
  <c r="U28" i="4" l="1"/>
  <c r="V7" i="4"/>
  <c r="V36" i="4"/>
  <c r="U27" i="4"/>
  <c r="U70" i="4"/>
  <c r="U56" i="4" l="1"/>
  <c r="U7" i="4"/>
  <c r="V70" i="4"/>
  <c r="V56" i="4"/>
  <c r="V27" i="4"/>
  <c r="U36" i="4"/>
  <c r="W7" i="4"/>
  <c r="V28" i="4"/>
  <c r="W70" i="4"/>
  <c r="W56" i="4"/>
  <c r="W27" i="4"/>
  <c r="W36" i="4"/>
  <c r="W28" i="4"/>
  <c r="N9" i="5"/>
  <c r="L9" i="5"/>
  <c r="U9" i="5"/>
  <c r="Q9" i="5"/>
  <c r="AI70" i="4"/>
  <c r="AI27" i="4"/>
  <c r="O9" i="5"/>
  <c r="AI7" i="4"/>
  <c r="S9" i="5"/>
  <c r="V9" i="5" l="1"/>
  <c r="M9" i="5"/>
  <c r="P9" i="5"/>
  <c r="T9" i="5"/>
  <c r="R9" i="5"/>
  <c r="Q53" i="4" l="1"/>
  <c r="S53" i="4"/>
  <c r="R53" i="4"/>
  <c r="R40" i="4"/>
  <c r="S40" i="4"/>
  <c r="Q40" i="4"/>
  <c r="Q81" i="4"/>
  <c r="S81" i="4"/>
  <c r="R81" i="4"/>
  <c r="S33" i="4"/>
  <c r="R33" i="4"/>
  <c r="Q33" i="4"/>
  <c r="S79" i="4"/>
  <c r="R79" i="4"/>
  <c r="Q79" i="4"/>
  <c r="S72" i="4"/>
  <c r="R72" i="4"/>
  <c r="Q72" i="4"/>
  <c r="S13" i="4"/>
  <c r="R13" i="4"/>
  <c r="Q13" i="4"/>
  <c r="U81" i="4" l="1"/>
  <c r="V40" i="4"/>
  <c r="U13" i="4"/>
  <c r="AI13" i="4"/>
  <c r="U72" i="4"/>
  <c r="AI72" i="4"/>
  <c r="U79" i="4"/>
  <c r="AI79" i="4"/>
  <c r="U33" i="4"/>
  <c r="AI33" i="4"/>
  <c r="V13" i="4"/>
  <c r="V72" i="4"/>
  <c r="V79" i="4"/>
  <c r="V33" i="4"/>
  <c r="W81" i="4"/>
  <c r="W13" i="4"/>
  <c r="W72" i="4"/>
  <c r="W79" i="4"/>
  <c r="W33" i="4"/>
  <c r="U40" i="4"/>
  <c r="AI40" i="4"/>
  <c r="V81" i="4"/>
  <c r="W40" i="4"/>
  <c r="W53" i="4"/>
  <c r="V53" i="4"/>
  <c r="U53" i="4"/>
  <c r="AI53" i="4"/>
  <c r="S54" i="4"/>
  <c r="R54" i="4"/>
  <c r="Q54" i="4"/>
  <c r="Q62" i="4"/>
  <c r="R62" i="4"/>
  <c r="S62" i="4"/>
  <c r="S75" i="4"/>
  <c r="R75" i="4"/>
  <c r="Q75" i="4"/>
  <c r="S65" i="4"/>
  <c r="R65" i="4"/>
  <c r="Q65" i="4"/>
  <c r="S67" i="4"/>
  <c r="R67" i="4"/>
  <c r="Q67" i="4"/>
  <c r="S77" i="4"/>
  <c r="R77" i="4"/>
  <c r="Q77" i="4"/>
  <c r="S48" i="4"/>
  <c r="R48" i="4"/>
  <c r="Q48" i="4"/>
  <c r="S5" i="4"/>
  <c r="R5" i="4"/>
  <c r="Q5" i="4"/>
  <c r="V48" i="4" l="1"/>
  <c r="V77" i="4"/>
  <c r="V65" i="4"/>
  <c r="V75" i="4"/>
  <c r="U5" i="4"/>
  <c r="AI5" i="4"/>
  <c r="U48" i="4"/>
  <c r="AI48" i="4"/>
  <c r="U77" i="4"/>
  <c r="AI77" i="4"/>
  <c r="U67" i="4"/>
  <c r="AI67" i="4"/>
  <c r="U65" i="4"/>
  <c r="AI65" i="4"/>
  <c r="U75" i="4"/>
  <c r="AI75" i="4"/>
  <c r="U54" i="4"/>
  <c r="AI54" i="4"/>
  <c r="V5" i="4"/>
  <c r="V67" i="4"/>
  <c r="U62" i="4"/>
  <c r="AI62" i="4"/>
  <c r="V54" i="4"/>
  <c r="W5" i="4"/>
  <c r="W48" i="4"/>
  <c r="W77" i="4"/>
  <c r="W67" i="4"/>
  <c r="W65" i="4"/>
  <c r="W75" i="4"/>
  <c r="W62" i="4"/>
  <c r="W54" i="4"/>
  <c r="V62" i="4"/>
  <c r="N21" i="5" l="1"/>
  <c r="Q39" i="4"/>
  <c r="S39" i="4"/>
  <c r="R39" i="4"/>
  <c r="S21" i="16" l="1"/>
  <c r="U13" i="19"/>
  <c r="U21" i="16"/>
  <c r="W13" i="19"/>
  <c r="Q21" i="16"/>
  <c r="S13" i="19"/>
  <c r="U39" i="4"/>
  <c r="AI39" i="4"/>
  <c r="O21" i="5"/>
  <c r="L21" i="5"/>
  <c r="W39" i="4"/>
  <c r="S21" i="5"/>
  <c r="U21" i="5"/>
  <c r="V39" i="4"/>
  <c r="Q21" i="5"/>
  <c r="T21" i="16" l="1"/>
  <c r="V21" i="16"/>
  <c r="P21" i="16"/>
  <c r="R21" i="16"/>
  <c r="T13" i="19"/>
  <c r="X13" i="19"/>
  <c r="R13" i="19"/>
  <c r="V13" i="19"/>
  <c r="V21" i="5"/>
  <c r="R21" i="5"/>
  <c r="P21" i="5"/>
  <c r="T21" i="5"/>
  <c r="M21" i="5"/>
  <c r="S59" i="4" l="1"/>
  <c r="S60" i="4"/>
  <c r="Q14" i="4"/>
  <c r="S41" i="4" l="1"/>
  <c r="S20" i="4"/>
  <c r="P59" i="4"/>
  <c r="P37" i="4"/>
  <c r="Q83" i="4"/>
  <c r="S61" i="4"/>
  <c r="S47" i="4"/>
  <c r="Q59" i="4"/>
  <c r="S49" i="4"/>
  <c r="S57" i="4"/>
  <c r="S19" i="4"/>
  <c r="R59" i="4"/>
  <c r="Q41" i="4"/>
  <c r="R14" i="4"/>
  <c r="R41" i="4"/>
  <c r="S14" i="4"/>
  <c r="P57" i="4"/>
  <c r="Q57" i="4"/>
  <c r="Q37" i="4"/>
  <c r="R83" i="4"/>
  <c r="R57" i="4"/>
  <c r="R37" i="4"/>
  <c r="S83" i="4"/>
  <c r="S37" i="4"/>
  <c r="P14" i="4"/>
  <c r="P41" i="4"/>
  <c r="P83" i="4"/>
  <c r="P61" i="4"/>
  <c r="P49" i="4"/>
  <c r="P20" i="4"/>
  <c r="Q61" i="4"/>
  <c r="Q49" i="4"/>
  <c r="Q20" i="4"/>
  <c r="R61" i="4"/>
  <c r="R49" i="4"/>
  <c r="R20" i="4"/>
  <c r="P60" i="4"/>
  <c r="P47" i="4"/>
  <c r="P19" i="4"/>
  <c r="Q60" i="4"/>
  <c r="Q47" i="4"/>
  <c r="Q19" i="4"/>
  <c r="S14" i="19" s="1"/>
  <c r="R60" i="4"/>
  <c r="R47" i="4"/>
  <c r="R19" i="4"/>
  <c r="U14" i="19" l="1"/>
  <c r="Q14" i="19"/>
  <c r="W14" i="19"/>
  <c r="Q23" i="16"/>
  <c r="S23" i="16"/>
  <c r="O23" i="16"/>
  <c r="U23" i="16"/>
  <c r="N9" i="2"/>
  <c r="W59" i="4"/>
  <c r="W49" i="4"/>
  <c r="W60" i="4"/>
  <c r="W61" i="4"/>
  <c r="W47" i="4"/>
  <c r="W20" i="4"/>
  <c r="V60" i="4"/>
  <c r="V49" i="4"/>
  <c r="U61" i="4"/>
  <c r="AI61" i="4"/>
  <c r="W83" i="4"/>
  <c r="U23" i="5"/>
  <c r="V83" i="4"/>
  <c r="U19" i="4"/>
  <c r="AI19" i="4"/>
  <c r="V61" i="4"/>
  <c r="U83" i="4"/>
  <c r="V37" i="4"/>
  <c r="W41" i="4"/>
  <c r="V59" i="4"/>
  <c r="U37" i="4"/>
  <c r="AI37" i="4"/>
  <c r="V19" i="4"/>
  <c r="U47" i="4"/>
  <c r="AI47" i="4"/>
  <c r="U20" i="4"/>
  <c r="AI20" i="4"/>
  <c r="U41" i="4"/>
  <c r="AI41" i="4"/>
  <c r="W37" i="4"/>
  <c r="V57" i="4"/>
  <c r="J9" i="2"/>
  <c r="W14" i="4"/>
  <c r="S23" i="5"/>
  <c r="U59" i="4"/>
  <c r="AI59" i="4"/>
  <c r="Q23" i="5"/>
  <c r="W19" i="4"/>
  <c r="V47" i="4"/>
  <c r="U60" i="4"/>
  <c r="AI60" i="4"/>
  <c r="V20" i="4"/>
  <c r="U49" i="4"/>
  <c r="AI49" i="4"/>
  <c r="U14" i="4"/>
  <c r="O23" i="5"/>
  <c r="AI14" i="4"/>
  <c r="W57" i="4"/>
  <c r="L9" i="2"/>
  <c r="U57" i="4"/>
  <c r="AI57" i="4"/>
  <c r="H9" i="2"/>
  <c r="V41" i="4"/>
  <c r="V14" i="4"/>
  <c r="R14" i="19" l="1"/>
  <c r="X14" i="19"/>
  <c r="V14" i="19"/>
  <c r="T14" i="19"/>
  <c r="T23" i="16"/>
  <c r="V23" i="16"/>
  <c r="P23" i="16"/>
  <c r="R23" i="16"/>
  <c r="V23" i="5"/>
  <c r="O9" i="2"/>
  <c r="M9" i="2"/>
  <c r="R23" i="5"/>
  <c r="T23" i="5"/>
  <c r="P23" i="5"/>
  <c r="K9" i="2"/>
  <c r="I9" i="2"/>
  <c r="O14" i="4"/>
  <c r="O60" i="4" l="1"/>
  <c r="O47" i="4"/>
  <c r="O19" i="4"/>
  <c r="O59" i="4"/>
  <c r="O41" i="4"/>
  <c r="O83" i="4"/>
  <c r="O57" i="4"/>
  <c r="O37" i="4"/>
  <c r="O61" i="4"/>
  <c r="O49" i="4"/>
  <c r="O20" i="4"/>
  <c r="P14" i="19" s="1"/>
  <c r="N23" i="16" l="1"/>
  <c r="N23" i="5"/>
  <c r="M49" i="4"/>
  <c r="L49" i="4"/>
  <c r="M57" i="4"/>
  <c r="L57" i="4"/>
  <c r="M41" i="4"/>
  <c r="L41" i="4"/>
  <c r="M47" i="4"/>
  <c r="L47" i="4"/>
  <c r="M14" i="4"/>
  <c r="L14" i="4"/>
  <c r="M20" i="4"/>
  <c r="L20" i="4"/>
  <c r="M61" i="4"/>
  <c r="L61" i="4"/>
  <c r="M37" i="4"/>
  <c r="L37" i="4"/>
  <c r="M83" i="4"/>
  <c r="L83" i="4"/>
  <c r="M59" i="4"/>
  <c r="L59" i="4"/>
  <c r="G9" i="2"/>
  <c r="M19" i="4"/>
  <c r="L19" i="4"/>
  <c r="M60" i="4"/>
  <c r="L60" i="4"/>
  <c r="N14" i="19" l="1"/>
  <c r="O14" i="19" s="1"/>
  <c r="K23" i="16"/>
  <c r="L23" i="16" s="1"/>
  <c r="E9" i="2"/>
  <c r="F9" i="2" s="1"/>
  <c r="L23" i="5"/>
  <c r="M23" i="5" l="1"/>
  <c r="V46" i="4" l="1"/>
  <c r="U46" i="4"/>
  <c r="AI46" i="4"/>
  <c r="W46" i="4"/>
  <c r="Q13" i="16" l="1"/>
  <c r="S13" i="16"/>
  <c r="U13" i="16"/>
  <c r="N7" i="2"/>
  <c r="V31" i="4"/>
  <c r="V23" i="4"/>
  <c r="J7" i="2"/>
  <c r="U42" i="4"/>
  <c r="AI42" i="4"/>
  <c r="W9" i="4"/>
  <c r="S13" i="5"/>
  <c r="G7" i="2"/>
  <c r="W23" i="4"/>
  <c r="L7" i="2"/>
  <c r="V42" i="4"/>
  <c r="V9" i="4"/>
  <c r="Q13" i="5"/>
  <c r="W31" i="4"/>
  <c r="N13" i="5"/>
  <c r="U13" i="5"/>
  <c r="U23" i="4"/>
  <c r="AI23" i="4"/>
  <c r="H7" i="2"/>
  <c r="W42" i="4"/>
  <c r="U9" i="4"/>
  <c r="O13" i="5"/>
  <c r="AI9" i="4"/>
  <c r="U31" i="4"/>
  <c r="AI31" i="4"/>
  <c r="T13" i="16" l="1"/>
  <c r="V13" i="16"/>
  <c r="R13" i="16"/>
  <c r="P13" i="16"/>
  <c r="V13" i="5"/>
  <c r="O7" i="2"/>
  <c r="I7" i="2"/>
  <c r="P13" i="5"/>
  <c r="R13" i="5"/>
  <c r="M7" i="2"/>
  <c r="T13" i="5"/>
  <c r="K7" i="2"/>
  <c r="K13" i="16" l="1"/>
  <c r="L13" i="16" s="1"/>
  <c r="E7" i="2"/>
  <c r="F7" i="2" s="1"/>
  <c r="L13" i="5"/>
  <c r="M13" i="5" s="1"/>
  <c r="P12" i="19" l="1"/>
  <c r="N11" i="16" l="1"/>
  <c r="P11" i="19"/>
  <c r="N11" i="5"/>
  <c r="G6" i="2"/>
  <c r="W12" i="19" l="1"/>
  <c r="S12" i="19"/>
  <c r="U12" i="19"/>
  <c r="Q12" i="19"/>
  <c r="R12" i="19" l="1"/>
  <c r="X12" i="19"/>
  <c r="V12" i="19"/>
  <c r="T12" i="19"/>
  <c r="O11" i="16"/>
  <c r="Q11" i="19"/>
  <c r="S11" i="16"/>
  <c r="U11" i="19"/>
  <c r="Q11" i="16"/>
  <c r="S11" i="19"/>
  <c r="U11" i="16"/>
  <c r="W11" i="19"/>
  <c r="U16" i="4"/>
  <c r="AI16" i="4"/>
  <c r="O11" i="5"/>
  <c r="H6" i="2"/>
  <c r="S11" i="5"/>
  <c r="W16" i="4"/>
  <c r="L6" i="2"/>
  <c r="V16" i="4"/>
  <c r="Q11" i="5"/>
  <c r="J6" i="2"/>
  <c r="U11" i="5"/>
  <c r="N6" i="2"/>
  <c r="V11" i="16" l="1"/>
  <c r="P11" i="16"/>
  <c r="T11" i="16"/>
  <c r="R11" i="16"/>
  <c r="V11" i="19"/>
  <c r="T11" i="19"/>
  <c r="X11" i="19"/>
  <c r="R11" i="19"/>
  <c r="V11" i="5"/>
  <c r="O6" i="2"/>
  <c r="M6" i="2"/>
  <c r="I6" i="2"/>
  <c r="P11" i="5"/>
  <c r="K6" i="2"/>
  <c r="R11" i="5"/>
  <c r="T11" i="5"/>
  <c r="O86" i="4" l="1"/>
  <c r="P16" i="19" s="1"/>
  <c r="N22" i="16" l="1"/>
  <c r="N32" i="16" s="1"/>
  <c r="P15" i="19"/>
  <c r="P32" i="19" s="1"/>
  <c r="G10" i="2"/>
  <c r="N22" i="5"/>
  <c r="G8" i="2"/>
  <c r="L74" i="4"/>
  <c r="R86" i="4"/>
  <c r="P86" i="4"/>
  <c r="Q16" i="19" s="1"/>
  <c r="S86" i="4"/>
  <c r="Q86" i="4"/>
  <c r="S74" i="4"/>
  <c r="R74" i="4"/>
  <c r="Q74" i="4"/>
  <c r="S73" i="4"/>
  <c r="R73" i="4"/>
  <c r="Q73" i="4"/>
  <c r="S43" i="4"/>
  <c r="Q43" i="4"/>
  <c r="R43" i="4"/>
  <c r="R82" i="4"/>
  <c r="S82" i="4"/>
  <c r="Q82" i="4"/>
  <c r="L43" i="4"/>
  <c r="L86" i="4"/>
  <c r="L82" i="4"/>
  <c r="L73" i="4"/>
  <c r="M74" i="4"/>
  <c r="W15" i="19" l="1"/>
  <c r="W16" i="19"/>
  <c r="N15" i="19"/>
  <c r="O15" i="19" s="1"/>
  <c r="N16" i="19"/>
  <c r="O16" i="19" s="1"/>
  <c r="U15" i="19"/>
  <c r="U16" i="19"/>
  <c r="S16" i="19"/>
  <c r="O22" i="16"/>
  <c r="O32" i="16" s="1"/>
  <c r="Q15" i="19"/>
  <c r="S15" i="19"/>
  <c r="K22" i="16"/>
  <c r="L22" i="16" s="1"/>
  <c r="Q22" i="16"/>
  <c r="Q32" i="16" s="1"/>
  <c r="U22" i="16"/>
  <c r="U32" i="16" s="1"/>
  <c r="S22" i="16"/>
  <c r="S32" i="16" s="1"/>
  <c r="N32" i="5"/>
  <c r="V82" i="4"/>
  <c r="G11" i="2"/>
  <c r="V86" i="4"/>
  <c r="E10" i="2"/>
  <c r="F10" i="2" s="1"/>
  <c r="V74" i="4"/>
  <c r="U43" i="4"/>
  <c r="O22" i="5"/>
  <c r="H8" i="2"/>
  <c r="U73" i="4"/>
  <c r="H10" i="2"/>
  <c r="W43" i="4"/>
  <c r="S22" i="5"/>
  <c r="L8" i="2"/>
  <c r="J10" i="2"/>
  <c r="O10" i="2" s="1"/>
  <c r="V73" i="4"/>
  <c r="W74" i="4"/>
  <c r="U82" i="4"/>
  <c r="V43" i="4"/>
  <c r="Q22" i="5"/>
  <c r="J8" i="2"/>
  <c r="L10" i="2"/>
  <c r="W73" i="4"/>
  <c r="U86" i="4"/>
  <c r="L22" i="5"/>
  <c r="E8" i="2"/>
  <c r="W82" i="4"/>
  <c r="U22" i="5"/>
  <c r="U32" i="5" s="1"/>
  <c r="N8" i="2"/>
  <c r="N10" i="2"/>
  <c r="U74" i="4"/>
  <c r="W86" i="4"/>
  <c r="M82" i="4"/>
  <c r="M86" i="4"/>
  <c r="M73" i="4"/>
  <c r="M43" i="4"/>
  <c r="T16" i="19" l="1"/>
  <c r="U32" i="19"/>
  <c r="V16" i="19"/>
  <c r="W32" i="19"/>
  <c r="R16" i="19"/>
  <c r="X16" i="19"/>
  <c r="V15" i="19"/>
  <c r="R15" i="19"/>
  <c r="X15" i="19"/>
  <c r="Q32" i="19"/>
  <c r="T15" i="19"/>
  <c r="S32" i="19"/>
  <c r="R32" i="16"/>
  <c r="T32" i="16"/>
  <c r="P32" i="16"/>
  <c r="P22" i="16"/>
  <c r="T22" i="16"/>
  <c r="V22" i="16"/>
  <c r="V32" i="16" s="1"/>
  <c r="R22" i="16"/>
  <c r="O8" i="2"/>
  <c r="V22" i="5"/>
  <c r="V32" i="5" s="1"/>
  <c r="M10" i="2"/>
  <c r="F8" i="2"/>
  <c r="M8" i="2"/>
  <c r="L11" i="2"/>
  <c r="M22" i="5"/>
  <c r="K8" i="2"/>
  <c r="J11" i="2"/>
  <c r="T22" i="5"/>
  <c r="S32" i="5"/>
  <c r="I8" i="2"/>
  <c r="H11" i="2"/>
  <c r="N11" i="2"/>
  <c r="R22" i="5"/>
  <c r="Q32" i="5"/>
  <c r="P22" i="5"/>
  <c r="O32" i="5"/>
  <c r="K10" i="2"/>
  <c r="I10" i="2"/>
  <c r="X32" i="19" l="1"/>
  <c r="R32" i="19"/>
  <c r="T32" i="19"/>
  <c r="V32" i="19"/>
  <c r="I11" i="2"/>
  <c r="P32" i="5"/>
  <c r="K11" i="2"/>
  <c r="M11" i="2"/>
  <c r="R32" i="5"/>
  <c r="T32" i="5"/>
  <c r="N12" i="19" l="1"/>
  <c r="O12" i="19" s="1"/>
  <c r="K11" i="16" l="1"/>
  <c r="L11" i="16" s="1"/>
  <c r="N11" i="19"/>
  <c r="E6" i="2"/>
  <c r="L11" i="5"/>
  <c r="K32" i="16" l="1"/>
  <c r="L32" i="16" s="1"/>
  <c r="O11" i="19"/>
  <c r="N32" i="19"/>
  <c r="O32" i="19" s="1"/>
  <c r="M11" i="5"/>
  <c r="L32" i="5"/>
  <c r="M32" i="5" s="1"/>
  <c r="F6" i="2"/>
  <c r="E11" i="2"/>
  <c r="F11" i="2" s="1"/>
  <c r="O11" i="2"/>
</calcChain>
</file>

<file path=xl/sharedStrings.xml><?xml version="1.0" encoding="utf-8"?>
<sst xmlns="http://schemas.openxmlformats.org/spreadsheetml/2006/main" count="4235" uniqueCount="464">
  <si>
    <t>AÑO</t>
  </si>
  <si>
    <t>DENOMINACIÓN DE LA AUDITORÍA EN EL CRONOGRAMA ANUAL</t>
  </si>
  <si>
    <t>DENOMINACIÓN DE LA AUDITORÍA EN EL INFORME
(Elemento Organizacional Evaluado)</t>
  </si>
  <si>
    <t>EQUIPO EVALUADOR</t>
  </si>
  <si>
    <t>UNIDAD ADMINISTRATIVA</t>
  </si>
  <si>
    <t>PROCESO</t>
  </si>
  <si>
    <t xml:space="preserve">% ACCIONES DE MEJORA CUMPLIDAS </t>
  </si>
  <si>
    <t>N° OPORTUNIDADES DE MEJORA CERRADAS</t>
  </si>
  <si>
    <t xml:space="preserve">% OPORTUNIDADES DE MEJORA CERRADAS </t>
  </si>
  <si>
    <t>Atención quirúrgica</t>
  </si>
  <si>
    <t>Adolfo Marulanda Calle</t>
  </si>
  <si>
    <t>Subgerencia Red de Servicios</t>
  </si>
  <si>
    <t xml:space="preserve">Atención quirúrgica </t>
  </si>
  <si>
    <t>Atención en urgencias</t>
  </si>
  <si>
    <t>Proceso atención en urgencias</t>
  </si>
  <si>
    <t>Adolfo Marulanda Calle / 
Claudia González González</t>
  </si>
  <si>
    <t xml:space="preserve">Atención en urgencias </t>
  </si>
  <si>
    <t>Atención en hospitalización</t>
  </si>
  <si>
    <t>Proceso Atención en Hospitalización</t>
  </si>
  <si>
    <t xml:space="preserve">Atención en hospitalización </t>
  </si>
  <si>
    <t>Gestión servicio farmaceútico</t>
  </si>
  <si>
    <t>Proceso Gestión Servicio Farmacéutico</t>
  </si>
  <si>
    <t xml:space="preserve">Gestión servicio farmacéutico </t>
  </si>
  <si>
    <t>Atención en laboratorio clínico</t>
  </si>
  <si>
    <t>Proceso Atención en laboratorio</t>
  </si>
  <si>
    <t xml:space="preserve">Atención en laboratorio clínico </t>
  </si>
  <si>
    <t>Atención ambulatoria</t>
  </si>
  <si>
    <t>Proceso Atención Ambulatoria</t>
  </si>
  <si>
    <t xml:space="preserve">Atención ambulatoria </t>
  </si>
  <si>
    <t>Atención en PyP</t>
  </si>
  <si>
    <t>Proceso Atención en Promoción y Prevención</t>
  </si>
  <si>
    <t xml:space="preserve">Atención en P y P </t>
  </si>
  <si>
    <t>Gestión financiera</t>
  </si>
  <si>
    <t>Proceso de Gestión Financiera</t>
  </si>
  <si>
    <t>Héctor Mario Vieira Álvarez</t>
  </si>
  <si>
    <t>Subgerencia Financiera y Administrativa</t>
  </si>
  <si>
    <t xml:space="preserve">Gestión financiera </t>
  </si>
  <si>
    <t>Gestión bienes y servicios (control de inventario de bienes muebles)</t>
  </si>
  <si>
    <t>Proceso de Gestión de Bienes y Servicios – Distribución y Control del Inventario de Bienes Muebles</t>
  </si>
  <si>
    <t>Paola Andrea Daza Quintero / 
Luz Gloria Aristizábal Puerta</t>
  </si>
  <si>
    <t>Dirección Administrativa</t>
  </si>
  <si>
    <t xml:space="preserve">Gestión logística </t>
  </si>
  <si>
    <t>Gestión venta de servicios</t>
  </si>
  <si>
    <t>Proceso Gestión Venta de Servicios</t>
  </si>
  <si>
    <t>Paola Andrea Daza Quintero / 
Héctor Mario Vieira Álvarez</t>
  </si>
  <si>
    <t>Dirección de Venta de Servicios</t>
  </si>
  <si>
    <t xml:space="preserve">Gestión venta de servicios </t>
  </si>
  <si>
    <t>Gestión documental</t>
  </si>
  <si>
    <t>Proceso Gestión Documental</t>
  </si>
  <si>
    <t>Paola Andrea Daza Quintero</t>
  </si>
  <si>
    <t>Dirección de Sistemas de Información</t>
  </si>
  <si>
    <t xml:space="preserve">Gestión documental </t>
  </si>
  <si>
    <t>Gestión jurídica</t>
  </si>
  <si>
    <t>Proceso Gestión Jurídica</t>
  </si>
  <si>
    <t>Oficina Juridica</t>
  </si>
  <si>
    <t xml:space="preserve">Gestión jurídica </t>
  </si>
  <si>
    <t>Evaluación de las cajas menores</t>
  </si>
  <si>
    <t>Cajas menores</t>
  </si>
  <si>
    <t>Control inventario de bienes</t>
  </si>
  <si>
    <t>Procedimiento control del inventario de bienes muebles e inmuebles (Tarea asegurar bienes)</t>
  </si>
  <si>
    <t>Proceso de Atención en Urgencias</t>
  </si>
  <si>
    <t>Contrato de intermediación de Seguros y Riesgos Laborales - Vigencia 2019-2020</t>
  </si>
  <si>
    <t>Contrato de corretaje Fusión Seguros Ltda.</t>
  </si>
  <si>
    <t>Claudia González González / 
Carlos Alejandro Mesa Posada</t>
  </si>
  <si>
    <t>Pago de nómina y reconocimiento de horas extra dominicales y festivos de los conductores de ambulancia 2019-2020</t>
  </si>
  <si>
    <t>Cuadros de turnos, pagos de nómina, horas extras, dominicales y festivos de los conductores de ambulancia</t>
  </si>
  <si>
    <t>Adolfo Marulanda Calle / 
Héctor Mario Vieira Álvarez</t>
  </si>
  <si>
    <t xml:space="preserve">Gestión talento humano </t>
  </si>
  <si>
    <t>Atención en imágenes diagnósticas</t>
  </si>
  <si>
    <t>Atención de Imágenes Diagnósticas</t>
  </si>
  <si>
    <t>Carlos Alejandro Mesa Posada</t>
  </si>
  <si>
    <t xml:space="preserve">Atención en imágenes diagnósticas </t>
  </si>
  <si>
    <t>Atención ambulatoria: consentimiento informado</t>
  </si>
  <si>
    <t>Atención en Laboratorio Clínico (PM 06)</t>
  </si>
  <si>
    <t>Proceso de Atención en Promoción de la Salud y Prevención de la Enfermedad 2020 – Programa Riesgo Cardiovascular</t>
  </si>
  <si>
    <t>Proceso Atención Integral Farmacéutica (PM 08)</t>
  </si>
  <si>
    <t>Proceso de Atención Quirúrgica</t>
  </si>
  <si>
    <t>Proceso de Gestión Venta de Servicios</t>
  </si>
  <si>
    <t>Evaluación verificación de contratos</t>
  </si>
  <si>
    <t>Supervisión contratos 996, 1576 y 3793 de 2019</t>
  </si>
  <si>
    <t>Talento humano: programa de vivienda</t>
  </si>
  <si>
    <t>Programa de Vivienda de la ESE Metrosalud</t>
  </si>
  <si>
    <t>Dirección de Talento Humano</t>
  </si>
  <si>
    <t>Gestión docencia servicio</t>
  </si>
  <si>
    <t>Proceso Gestión Docencia Servicio</t>
  </si>
  <si>
    <t xml:space="preserve">Gestión docencia servicio </t>
  </si>
  <si>
    <t>Atención en Hospitalización. (PM 04)</t>
  </si>
  <si>
    <t>Gestión cuadro de turnos</t>
  </si>
  <si>
    <t>Cumplimiento de términos procesales</t>
  </si>
  <si>
    <t>Contratación prestación servicios (tercería) - supervisión de contratos</t>
  </si>
  <si>
    <t>Contratación Prestación de Servicios</t>
  </si>
  <si>
    <t>Procedimiento Control de Inventarios Bienes de Consumo.
Instructivo Legalización de Donaciones de Bienes Muebles e Insumos por Urgencias Manifiesta.</t>
  </si>
  <si>
    <t>Desarrollo del sistema de gestión</t>
  </si>
  <si>
    <t>Desarrollo Sistema de Gestión</t>
  </si>
  <si>
    <t>Claudia González González</t>
  </si>
  <si>
    <t>Oficina Asesora de Planeación y Desarrollo Organizacional</t>
  </si>
  <si>
    <t>Arqueo de cajas - 1 semestre</t>
  </si>
  <si>
    <t>Gestión Financiera – Instructivo Cuadre de Caja</t>
  </si>
  <si>
    <t>Adolfo Marulanda Calle / 
Carlos Alejandro Mesa Posada</t>
  </si>
  <si>
    <t>Arqueo de cajas - 2 semestre</t>
  </si>
  <si>
    <t>Evaluación Proceso de Facturación, cartera y gestión de glosas</t>
  </si>
  <si>
    <t>Procedimientos de facturación, cartera y gestión de las glosa</t>
  </si>
  <si>
    <t>Contratación adquisición de servicios</t>
  </si>
  <si>
    <t>Contratos No.1815, 2385, 2502, 3999, 4122, 4669, 4686, 5641, 5824, 5860 y la respectiva supervisión.</t>
  </si>
  <si>
    <t>Bertha Lucia Román García</t>
  </si>
  <si>
    <t>Dirección de Contratación</t>
  </si>
  <si>
    <t xml:space="preserve">Gestión de la contratación </t>
  </si>
  <si>
    <t>Manejo de archivo clínico</t>
  </si>
  <si>
    <t>Procedimiento Atención del usuario en hospitalización</t>
  </si>
  <si>
    <t>Procedimiento Atención del Usuario en Hospitalización. Instructivos Asociados: Ronda Hospitalaria– Entrega de Turno Médico-Entrega de Turno Enfermería-Devolución Medicamentos y Dispositivos Médicos</t>
  </si>
  <si>
    <t xml:space="preserve">Ciclo de atención materno perinatal </t>
  </si>
  <si>
    <t>Ciclo de Atención Materno Perinatal</t>
  </si>
  <si>
    <t>Seguridad hospitalaria en los servicios de urgencias</t>
  </si>
  <si>
    <t>Condiciones de Seguridad Física y Ambientales – Ocupacionales de los servicios de urgencias</t>
  </si>
  <si>
    <t>Mantenimiento hospitalario (equipos)</t>
  </si>
  <si>
    <t>Procedimiento Mantenimiento de Bienes - Equipos Biomédicos</t>
  </si>
  <si>
    <t xml:space="preserve">Proceso Referencia y contrarreferencia y traslados </t>
  </si>
  <si>
    <t>Proceso de Referencia y Contrarreferencia Institucional</t>
  </si>
  <si>
    <t>Sin proceso: Referencia y Contrarreferencia</t>
  </si>
  <si>
    <t>Gestión de camas</t>
  </si>
  <si>
    <t>Evaluación de inventarios de la propiedad planta y equipo incluye seguimiento a auditoria anterior</t>
  </si>
  <si>
    <t>Procedimiento control del inventario de bienes muebles e inmuebles</t>
  </si>
  <si>
    <t>Proceso talento humano</t>
  </si>
  <si>
    <t>Proceso de Gestión del Talento Humano</t>
  </si>
  <si>
    <t>Gestión Financiera</t>
  </si>
  <si>
    <t>Liquidación de convenios interadministrativos</t>
  </si>
  <si>
    <t>Liquidación de Convenios Interadministrativos
Instructivo Gestión de Convenios PE 04/2019</t>
  </si>
  <si>
    <t>Oficina de Salud Pública y Gestión Territorial</t>
  </si>
  <si>
    <t xml:space="preserve">Gestión de salud pública y territorial </t>
  </si>
  <si>
    <t>Evaluación plan de mantenimiento integral - equipos biomédicos</t>
  </si>
  <si>
    <t>Mantenimiento de Bienes - Equipos Biomédicos</t>
  </si>
  <si>
    <t>Condiciones de almacenamiento dispositivos médicos proyectos salud pública</t>
  </si>
  <si>
    <t>Condiciones de Almacenamiento de Medicamentos y Dispositivos Proyectos Salud Pública</t>
  </si>
  <si>
    <t>Adolfo Marulanda Calle / 
Luisa Fernanda Montoya</t>
  </si>
  <si>
    <t>Supervisiones de los contratos de tercerías y otros vigencia 2021</t>
  </si>
  <si>
    <t>Supervisión de contratos de tercerías y otros durante el 2021</t>
  </si>
  <si>
    <t>Arqueos de cajas menores - 1 semestre</t>
  </si>
  <si>
    <t>Arqueos de cajas menores - 2 semestre</t>
  </si>
  <si>
    <t>Instructivo legalización de donaciones de bienes e insumos/ seguimiento auditoria 2021</t>
  </si>
  <si>
    <t>Instructivo Legalización de Donaciones de Bienes Muebles e Insumos por Urgencias Manifiesta</t>
  </si>
  <si>
    <t>PAMEC</t>
  </si>
  <si>
    <t>Programa de Auditoria para el Mejoramiento de Calidad, (PAMEC) de Sistema Obligatorio de Garantía de Calidad en Salud, SOGC.</t>
  </si>
  <si>
    <t>Direccionamiento y planeación</t>
  </si>
  <si>
    <t xml:space="preserve">Gestión de bienes muebles, traslados y reintegros </t>
  </si>
  <si>
    <t>Gestión de Bienes Muebles, Traslados y Reintegro de estos</t>
  </si>
  <si>
    <t>Cumplimiento contrato interadministrativo para operar la ruta de promoción y mantenimiento de la salud - MAITE</t>
  </si>
  <si>
    <t>Contrato Interadministrativo 4600092294 para operar la ruta de promoción y mantenimiento de la salud en el marco del modelo de acción integral territorial</t>
  </si>
  <si>
    <t>Aseguramiento de Bienes Muebles</t>
  </si>
  <si>
    <t>Claudia González González / 
Carlos Alejandro Mesa Posada / 
Bertha Lucia Román García</t>
  </si>
  <si>
    <t>Comunicación Organizacional de acuerdo al Componente del MIPG</t>
  </si>
  <si>
    <t>Componente Comunicación organizacional</t>
  </si>
  <si>
    <t>Gerencia</t>
  </si>
  <si>
    <t>Sin proceso: Comunicación organizacional</t>
  </si>
  <si>
    <t>Verificación gestión de medicamentos de control</t>
  </si>
  <si>
    <t>Gestión de los Medicamentos de Control Especial en las UH de la ESE Metrosalud</t>
  </si>
  <si>
    <t>Claudia González González / 
Adolfo Marulanda Calle</t>
  </si>
  <si>
    <t xml:space="preserve">Gestión cajas menores administrativas </t>
  </si>
  <si>
    <t>Verificación a los Cuadres de Cajas de las UH - 1</t>
  </si>
  <si>
    <t>Cuadres de Caja del Procedimiento Facturacion usuarios- IN Cuadre de caja PA05 IN 21</t>
  </si>
  <si>
    <t>Aída Verónica Montoya Restrepo</t>
  </si>
  <si>
    <t>Gestión servicio farmaceútico - Logística de la distribución</t>
  </si>
  <si>
    <t>Proceso Gestión Servicio Farmacéutico 2023 – Demanda no atendida</t>
  </si>
  <si>
    <t>Seguimiento al plan de mejora de a la auditoria de la Superintendencia de Salud en las Unidades Hospitalarias de: Castilla, Belén, San Javier, Manrique - Centros de Salud de: Estadio y El Raizal</t>
  </si>
  <si>
    <t>Sin proceso: Auditorías Integrales UPSS</t>
  </si>
  <si>
    <t>Direccionamiento y planeación - evaluar el tablero de indicadores del plan de desarrollo</t>
  </si>
  <si>
    <t>Tabla de indicadores del plan estratégico</t>
  </si>
  <si>
    <t>Diego León Puerta Villegas</t>
  </si>
  <si>
    <t>Gestión venta de servicios - Proceso con énfasis en la contratación con entidades responsables de pago según riesgo (Savia Salud/Plan de Ventas y los servicios hablitados)</t>
  </si>
  <si>
    <t>Gestión financiera - proceso gestión financiera tesorería</t>
  </si>
  <si>
    <t>Tesorería - Procedimiento Ejecución de Pagos - IN Causación de Factura o Cuenta de Cobro y relacionados</t>
  </si>
  <si>
    <t>Seguimiento periódico a la contratación y supervisión de bienes y servicios</t>
  </si>
  <si>
    <t>Diego León Puerta Villegas / 
Adolfo Marulanda Calle</t>
  </si>
  <si>
    <t>Verificación a los Cuadres de Cajas de las UH - 2</t>
  </si>
  <si>
    <t>Gestión Financiera – Tesoreria -Cuadre de Caja</t>
  </si>
  <si>
    <t>Evaluación de las Unidades Hospitalarias de Belén, Manrique, Castilla, Centros de Salud Santo Domingo y CISAMF en los servicios de urgencias, hospitalización, cirugía, promoción y prevención, servicio transfusional, riesgo en salud, PAMEC y el proceso de facturación y glosas.</t>
  </si>
  <si>
    <t>Claudia González González / 
Claudia Marcela López Benítez</t>
  </si>
  <si>
    <t>Cajas Menores – Convenios Salud Pública y Gestión Territorial- Dirección Administrativa</t>
  </si>
  <si>
    <t>Referencia y contrareferencia</t>
  </si>
  <si>
    <t>Programa de Referencia y Contra referencia</t>
  </si>
  <si>
    <t>Gestión financiera - proceso gestión facturación, glosas y cartera</t>
  </si>
  <si>
    <t>Facturación, Cartera, Glosas, Cobro Persuasivo y Coactivo</t>
  </si>
  <si>
    <t>Aída Verónica Montoya Restrepo / Claudia Marcela López Benítez</t>
  </si>
  <si>
    <t>Gestión talento humano - Gestión estratégica de Talento Humano</t>
  </si>
  <si>
    <t>Gestión Talento Humano</t>
  </si>
  <si>
    <t>Claudia Marcela López Benítez</t>
  </si>
  <si>
    <t>Proceso Gestión Sistemas de Información: componente seguridad de la información Proyecto Gestión de la tecnología y la información: Obsolescencia Tecnológica y Seguridad de la información</t>
  </si>
  <si>
    <t xml:space="preserve">Gestión sistema de información </t>
  </si>
  <si>
    <t>Procedimiento Gestión Presupuestal</t>
  </si>
  <si>
    <t>CUENTA CON PLAN DE MEJORA</t>
  </si>
  <si>
    <t>N° OPORTUNIDADES DE MEJORA</t>
  </si>
  <si>
    <t>Diligenciamiento y custodia del Consentimiento Informado</t>
  </si>
  <si>
    <t>Procedimiento Atención por Cirugía/PR124102/ Versión 3 /21-11-16</t>
  </si>
  <si>
    <t>Adolfo Marulanda Calle / 
Claudia Marcela López Benítez</t>
  </si>
  <si>
    <t>N° AUDITORÍAS CON ENFOQUE DE RIESGOS</t>
  </si>
  <si>
    <t>N° AUDITORÍAS CON ENFOQUE DE RIESGOS CON PLAN DE MEJORA</t>
  </si>
  <si>
    <t>% AUDITORÍAS CON ENFOQUE DE RIESGOS CON PLAN DE MEJORA</t>
  </si>
  <si>
    <t>N° ACCIONES DE MEJORA</t>
  </si>
  <si>
    <t>N° ACCIONES DE MEJORA CUMPLIDAS</t>
  </si>
  <si>
    <t>N° ACCIONES DE MEJORA EN PROCESO</t>
  </si>
  <si>
    <t>N° ACCIONES DE MEJORA SIN AVANCE</t>
  </si>
  <si>
    <t>N° ACCIONES DE MEJORA NO APLICAN</t>
  </si>
  <si>
    <t>TOTAL</t>
  </si>
  <si>
    <t>N° AUDITORÍAS CON ENFOQUE DE RIESGOS POR PROCESO Y POR AÑO</t>
  </si>
  <si>
    <t>N°</t>
  </si>
  <si>
    <t xml:space="preserve">Gestión del conocimiento y la innovación </t>
  </si>
  <si>
    <t>Gestión control interno disciplinario</t>
  </si>
  <si>
    <t xml:space="preserve">Gestión de la evaluación </t>
  </si>
  <si>
    <t xml:space="preserve">% OPORTUNIDADES
DE MEJORA CERRADAS  </t>
  </si>
  <si>
    <t>Auditoría Interna Proceso Atención Quirúrgica 2019</t>
  </si>
  <si>
    <t>*=SUMA(1/CONTAR.SI(A2:A36;A2:A36))</t>
  </si>
  <si>
    <t>Auditoria Interna Proceso Atención en Urgencias 2019</t>
  </si>
  <si>
    <t>Auditoria Interna Proceso Atención en Hospitalización 2019</t>
  </si>
  <si>
    <t>*=SUMA(SI(ESBLANCO('Plan de Mejora'!E:E);0;1/CONTAR.SI('Plan de Mejora'!E:E,'Plan de Mejora'!E:E)))</t>
  </si>
  <si>
    <t>Auditoría Interna Proceso Gestión Servicio Farmacéutico 2019</t>
  </si>
  <si>
    <t>=SUMPRODUCT((($A$2:$A$18=D2))/COUNTIFS($A$2:$A$18,$A$2:$A$18&amp;"",$B$2:$B$18,$B$2:$B$18&amp;""))</t>
  </si>
  <si>
    <t>Auditoría Interna Proceso Atención en Laboratorio Clínico 2019</t>
  </si>
  <si>
    <t>Auditoría Interna Proceso Atención Ambulatoria 2019</t>
  </si>
  <si>
    <t>{=SUMA(1/CONTAR.SI(B2:B10; B2:B10))}</t>
  </si>
  <si>
    <t>Auditoria Interna Atención en Promoción y Prevención 2019</t>
  </si>
  <si>
    <t>Auditoría Interna Proceso Gestión Financiera 2019</t>
  </si>
  <si>
    <t>Auditoría Interna Procedimiento Control del inventario de bienes muebles e inmuebles 2019</t>
  </si>
  <si>
    <t>Auditoría Interna Proceso Gestión Venta de Servicios 2019</t>
  </si>
  <si>
    <t>Auditoría Interna Gestión Documental 2019</t>
  </si>
  <si>
    <t>Auditoria Interna Proceso de Gestión Jurídica 2019</t>
  </si>
  <si>
    <t>Auditoría Interna Cajas Menores 2019</t>
  </si>
  <si>
    <t>Auditoría Interna Procedimiento Control del inventario de bienes muebles e inmuebles 2020</t>
  </si>
  <si>
    <t>Auditoria Interna Proceso Atención en Urgencias 2020</t>
  </si>
  <si>
    <t>Auditoría Interna Contrato de intermediación de Seguros y Riesgos Laborales 2020</t>
  </si>
  <si>
    <t>Auditoría Interna Cuadros de turnos, pagos de nómina conductores de ambulancia 2020</t>
  </si>
  <si>
    <t>Auditoria Interna Proceso Atención en Imágenes Diagnósticas 2020</t>
  </si>
  <si>
    <t>Auditoría Interna Diligenciamiento y custodia del Consentimiento Informado 2020</t>
  </si>
  <si>
    <t>Auditoría Interna Proceso Gestión Financiera 2020</t>
  </si>
  <si>
    <t>Auditoría Interna Proceso Atención en Laboratorio Clínico 2020</t>
  </si>
  <si>
    <t>Auditoria Interna Atención en Promoción y Prevención 2020</t>
  </si>
  <si>
    <t>Auditoría Interna Proceso Atención Integral Farmacéutica 2020</t>
  </si>
  <si>
    <r>
      <t> </t>
    </r>
    <r>
      <rPr>
        <b/>
        <sz val="12"/>
        <color rgb="FF000118"/>
        <rFont val="Nunito Sans"/>
      </rPr>
      <t>Ctrl + Shift + Enter</t>
    </r>
  </si>
  <si>
    <t>Auditoría Interna Proceso Atención Quirúrgica 2020</t>
  </si>
  <si>
    <t>Auditoría Interna Proceso Gestión Venta de Servicios 2020</t>
  </si>
  <si>
    <t>Auditoría Interna Supervisión de contratos 2020</t>
  </si>
  <si>
    <t>Auditoría Interna Programa de Vivienda de la ESE Metrosalud 2020</t>
  </si>
  <si>
    <t>Auditoría Interna Proceso Gestión Docencia Servicio 2020</t>
  </si>
  <si>
    <t>Auditoria Interna Proceso Atención en Hospitalización - Gestión de Camas 2020</t>
  </si>
  <si>
    <r>
      <t>{</t>
    </r>
    <r>
      <rPr>
        <sz val="16"/>
        <color rgb="FF2E8D51"/>
        <rFont val="Arial"/>
        <family val="2"/>
      </rPr>
      <t>=SUMA(--(FRECUENCIA(SI(B2:B20=G2;COINCIDIR(A2:A20;A2:A20;0));FILA(A2:A20)-FILA(A2)+1)&gt;0))</t>
    </r>
    <r>
      <rPr>
        <b/>
        <sz val="16"/>
        <color rgb="FFFF0000"/>
        <rFont val="Arial"/>
        <family val="2"/>
      </rPr>
      <t>}</t>
    </r>
  </si>
  <si>
    <t>Auditoría Interna Gestión Cuadro de Turnos 2021</t>
  </si>
  <si>
    <t>Auditoria Interna Proceso de Gestión Jurídica 2021</t>
  </si>
  <si>
    <t>Auditoría Interna Supervisión de contratos 2021</t>
  </si>
  <si>
    <t>Auditoría Interna Procedimiento Control de Inventarios Bienes de Consumo - Instructivo Legalización Donaciones 2021</t>
  </si>
  <si>
    <t>Auditoria Interna Desarrollo Sistema Integrado de Gestión 2021</t>
  </si>
  <si>
    <t>Auditoría Interna Instructivo Cuadre de Caja 2021-1</t>
  </si>
  <si>
    <t>Auditoría Interna Instructivo Cuadre de Caja 2021-2</t>
  </si>
  <si>
    <t>Auditoría Interna Contratación adquisición de servicios 2021</t>
  </si>
  <si>
    <t>Auditoría Interna Manejo de Archivo Clínico 2021</t>
  </si>
  <si>
    <t>Auditoria Interna Procedimiento Atención del Usuario en Hospitalización 2021</t>
  </si>
  <si>
    <t>Auditoria Interna Ciclo de Atención Materno Perinatal 2021</t>
  </si>
  <si>
    <t>Auditoría Interna Condiciones de Seguridad Física y Ambientales de los servicios de urgencias 2021</t>
  </si>
  <si>
    <t>Auditoría Interna Mantenimiento de Bienes – Equipos Biomédicos 2021</t>
  </si>
  <si>
    <t>Auditoría Interna Programa de Referencia y Contrareferencia 2021</t>
  </si>
  <si>
    <t>Auditoría Interna Gestión de Camas 2021</t>
  </si>
  <si>
    <t>Auditoría Interna Procedimiento Control del inventario de bienes muebles e inmuebles 2021</t>
  </si>
  <si>
    <t>Auditoría Interna Proceso de Gestión del Talento Humano 2021</t>
  </si>
  <si>
    <t>Auditoría Interna Proceso Gestión Financiera 2021</t>
  </si>
  <si>
    <t>Auditoría Interna Liquidación de convenios interadministrativos 2021</t>
  </si>
  <si>
    <t>Auditoría Interna Mantenimiento de Bienes – Equipos Biomédicos 2022</t>
  </si>
  <si>
    <t>Auditoría Interna Condiciones de Almacenamiento de Medicamentos y Dispositivos Médicos Proyectos Salud Pública 2022</t>
  </si>
  <si>
    <t>Auditoría Interna Supervisión de contratos 2022</t>
  </si>
  <si>
    <t>Auditoría Interna Instructivo Cuadre de Caja 2022-1</t>
  </si>
  <si>
    <t>Auditoría Interna Instructivo Cuadre de Caja 2022-2</t>
  </si>
  <si>
    <t>Auditoría Interna Procedimiento Control de Inventarios Bienes de Consumo - Instructivo Legalización Donaciones 2022</t>
  </si>
  <si>
    <t>Auditoría Interna Programa de Auditoria para el Mejoramiento de Calidad (PAMEC) 2022</t>
  </si>
  <si>
    <t>Auditoría Interna Gestión de Bienes Muebles, Traslados y Reintegros 2022</t>
  </si>
  <si>
    <t>Auditoría Interna Aseguramiento de bienes muebles 2022</t>
  </si>
  <si>
    <t>Auditoría Interna Componente Comunicación organizacional 2022</t>
  </si>
  <si>
    <t>Auditoría Interna Gestión de los Medicamentos de Control Especial en las UH de la ESE Metrosalud 2022</t>
  </si>
  <si>
    <t>Auditoría Interna Cajas Menores 2022</t>
  </si>
  <si>
    <t>Auditoría Interna Verificación a los Cuadres de Cajas de las UH 2023-1</t>
  </si>
  <si>
    <t>Auditoría Interna Gestión Servicio Farmacéutico - Demanda no atendida 2023</t>
  </si>
  <si>
    <t>Auditoría Interna Proceso Gestión Venta de Servicios 2023</t>
  </si>
  <si>
    <t>Auditoría Interna Verificación a los Cuadres de Cajas de las UH 2023-2</t>
  </si>
  <si>
    <t>Auditoría Interna Cajas Menores 2023</t>
  </si>
  <si>
    <t>Auditoría Interna Programa de Referencia y Contrareferencia 2023</t>
  </si>
  <si>
    <t>Auditoría Interna Proceso de Gestión del Talento Humano 2023</t>
  </si>
  <si>
    <t>Atención Hospitalización – UH Nuevo Occidente</t>
  </si>
  <si>
    <t>Auditoría Interna Seguimiento periódico a la contratación y supervisión de bienes y servicios 2023-1</t>
  </si>
  <si>
    <t>Seguimiento periódico a la contratación y supervisión de bienes y servicios 1</t>
  </si>
  <si>
    <t>Auditoría Interna Seguimiento periódico a la contratación y supervisión de bienes y servicios 2023-2</t>
  </si>
  <si>
    <t>Seguimiento periódico a la contratación y supervisión de bienes y servicios 2</t>
  </si>
  <si>
    <t>Auditoría Interna Seguimiento periódico a la contratación y supervisión de bienes y servicios 2023-3</t>
  </si>
  <si>
    <t>Auditoría Interna Tabla de indicadores del plan estratégico 2023</t>
  </si>
  <si>
    <t>Proceso Gestión Sistemas de Información componente seguridad de la información 2023</t>
  </si>
  <si>
    <t>Auditoría Interna Procedimiento Control del inventario de bienes muebles e inmuebles 2023</t>
  </si>
  <si>
    <t>Manejo de inventario de bienes mueble e 
inmuebles</t>
  </si>
  <si>
    <t>Auditoría Interna Auditoria integral UPSS 1 2023</t>
  </si>
  <si>
    <t>Auditoría Interna Auditoria integral UPSS 2 2023</t>
  </si>
  <si>
    <t>Auditoría Interna Auditoria integral UPSS 3 2023</t>
  </si>
  <si>
    <t>ESTADO DE LAS ACCIONES DE MEJORAMIENTO AUDITORÍAS CON ENFOQUE DE RIESGOS POR PROCESO Y POR AÑO</t>
  </si>
  <si>
    <t xml:space="preserve">% ACCIONES DE MEJORA EN PROCESO </t>
  </si>
  <si>
    <t xml:space="preserve">% ACCIONES DE MEJORA SIN AVANCE </t>
  </si>
  <si>
    <t>C</t>
  </si>
  <si>
    <t>D</t>
  </si>
  <si>
    <t>E</t>
  </si>
  <si>
    <t>F</t>
  </si>
  <si>
    <t>G</t>
  </si>
  <si>
    <t>H</t>
  </si>
  <si>
    <t>I</t>
  </si>
  <si>
    <t>J</t>
  </si>
  <si>
    <t>K</t>
  </si>
  <si>
    <t>L</t>
  </si>
  <si>
    <t>M</t>
  </si>
  <si>
    <t>N</t>
  </si>
  <si>
    <t>O</t>
  </si>
  <si>
    <t>P</t>
  </si>
  <si>
    <t>B</t>
  </si>
  <si>
    <t>N°  OPORTUNIDADES DE MEJORA</t>
  </si>
  <si>
    <t>Auditoría Interna Proceso Gestión Financiera Tesorería 2023</t>
  </si>
  <si>
    <t>Auditoría Interna Proceso Gestión Financiera Presupuesto 2023</t>
  </si>
  <si>
    <t>Auditoría Interna Proceso Gestión Financiera Facturación, Cartera y Gestión de Glosas 2023</t>
  </si>
  <si>
    <t>Auditoría Interna Proceso Gestión Financiera Facturación, Cartera y Gestión de Glosas 2021</t>
  </si>
  <si>
    <t xml:space="preserve">% ACCIONES DE MEJORA
SIN AVANCE </t>
  </si>
  <si>
    <t xml:space="preserve">% ACCIONES DE MEJORA
EN PROCESO </t>
  </si>
  <si>
    <t xml:space="preserve">% ACCIONES DE MEJORA
CUMPLIDAS </t>
  </si>
  <si>
    <t>N° ACCIONES DE MEJORA
EN PROCESO</t>
  </si>
  <si>
    <t>N° ACCIONES DE MEJORA
SIN AVANCE</t>
  </si>
  <si>
    <t>N° ACCIONES DE MEJORA
CUMPLIDAS</t>
  </si>
  <si>
    <t>N° ACCIONES DE MEJORA
NO APLICA</t>
  </si>
  <si>
    <t>Control de inventarios bienes de consumo -  instructivo legalización de donaciones</t>
  </si>
  <si>
    <t>Gestión Bienes y Servicios - Infraestructura Gestión de la tecnología, Inventarios, reintegros, proceso de baja, tecnología biomédica</t>
  </si>
  <si>
    <t>Sistemas de Información - Seguridad de la Información</t>
  </si>
  <si>
    <t xml:space="preserve">Convenios Interadministrativos PIC - Priorizar convenios para evaluar
Verificación del cumplimiento de requisitos (supervisión) - cumplimiento a las condiciones contractuales </t>
  </si>
  <si>
    <t>Gestión Financiera - Proceso Gestión Financiera Presupuesto</t>
  </si>
  <si>
    <t>Auditoria Integral UPSS 3</t>
  </si>
  <si>
    <t>Auditoria Integral UPSS 2</t>
  </si>
  <si>
    <t>Auditoria Integral UPSS 1</t>
  </si>
  <si>
    <t>N° ACCIONES DE MEJORA
NO APLICAN</t>
  </si>
  <si>
    <t>DENOMINACIÓN DE LA AUDITORÍA EN EL PLAN DE MEJORAMIENTO</t>
  </si>
  <si>
    <t>FECHA ÚLTIMO SEGUIMIENTO CONTROL INTERNO</t>
  </si>
  <si>
    <t>N° SEGUIMIENTOS CONTROL INTERNO</t>
  </si>
  <si>
    <t>SI</t>
  </si>
  <si>
    <t>NO</t>
  </si>
  <si>
    <t/>
  </si>
  <si>
    <t>-</t>
  </si>
  <si>
    <t>NO APLICA</t>
  </si>
  <si>
    <t>Tesorería</t>
  </si>
  <si>
    <t>Diego León Puerta Villegas / 
Claudia Marcela López Benítez</t>
  </si>
  <si>
    <t>Verificación a los Cuadres de Cajas de las UH - 3</t>
  </si>
  <si>
    <t>Oficina de Control Interno Disciplinario</t>
  </si>
  <si>
    <t>Oficina de Control Interno y Evaluación</t>
  </si>
  <si>
    <t>Cumplimiento contrato interadministrativo para operar la ruta de promoción y mantenimiento de la salud - MAITE 2022</t>
  </si>
  <si>
    <t>Auditoría Interna Verificación a los Cuadres de Cajas de las UH 2023-3</t>
  </si>
  <si>
    <t xml:space="preserve">Convenios Interadministrativos PIC - Priorizar convenios para evaluar - Verificación del cumplimiento de requisitos (supervisión) - cumplimiento a las condiciones contractuales </t>
  </si>
  <si>
    <r>
      <t xml:space="preserve">FECHA INFORME
</t>
    </r>
    <r>
      <rPr>
        <b/>
        <i/>
        <sz val="11"/>
        <rFont val="Century Gothic"/>
        <family val="2"/>
      </rPr>
      <t>(hipervículo)</t>
    </r>
  </si>
  <si>
    <t>N° AUDITORÍAS CON ENFOQUE EN RIESGOS</t>
  </si>
  <si>
    <t>CONSOLIDADO ESTADO DE LAS ACCIONES DE MEJORAMIENTO AUDITORÍAS CON ENFOQUE EN RIESGOS</t>
  </si>
  <si>
    <t>ESTADO DE LAS ACCIONES DE MEJORA DE LAS AUDITORÍAS CON ENFOQUE EN RIESGOS POR AÑO</t>
  </si>
  <si>
    <t>ESTADO DE LAS ACCIONES DE MEJORAMIENTO AUDITORÍAS CON ENFOQUE EN RIESGOS POR PROCESO Y POR AÑO</t>
  </si>
  <si>
    <t>N° AUDITORÍAS CON ENFOQUE EN RIESGOS CON PLAN DE MEJORA</t>
  </si>
  <si>
    <t>% AUDITORÍAS CON ENFOQUE EN RIESGOS CON PLAN DE MEJORA</t>
  </si>
  <si>
    <t>Seguimiento periódico a la contratación y supervisión de bienes y servicios 3</t>
  </si>
  <si>
    <t>Auditoría Interna Seguimiento periódico a la contratación y supervisión de bienes y servicios 2023-4</t>
  </si>
  <si>
    <t>N° ACCIONES DE MEJORA CON 
CUMPLIMIENTO TOTAL</t>
  </si>
  <si>
    <t>N° ACCIONES DE MEJORA CON 
CUMPLIMIENTO PARCIAL</t>
  </si>
  <si>
    <t>N° ACCIONES DE MEJORA
SIN CUMPLIMIENTO</t>
  </si>
  <si>
    <t>ACCIONES DE MEJORA
SIN CUMPLIMIENTO</t>
  </si>
  <si>
    <t>ACCIONES DE MEJORA CON 
CUMPLIMIENTO PARCIAL</t>
  </si>
  <si>
    <t>ACCIONES DE MEJORA CON 
CUMPLIMIENTO TOTAL</t>
  </si>
  <si>
    <t>%</t>
  </si>
  <si>
    <t>AUDITORÍAS CON ENFOQUE EN RIESGOS CON PLAN DE MEJORA</t>
  </si>
  <si>
    <t>OPORTUNIDADES DE MEJORA CERRADAS</t>
  </si>
  <si>
    <t>% ACCIONES DE MEJORA CON 
CUMPLIMIENTO PARCIAL</t>
  </si>
  <si>
    <t>% ACCIONES DE MEJORA CON 
CUMPLIMIENTO TOTAL</t>
  </si>
  <si>
    <t>% ACCIONES DE MEJORA SIN CUMPLIMIENTO</t>
  </si>
  <si>
    <t>N° ACCIONES DE MEJORA QUE APLICAN</t>
  </si>
  <si>
    <t>N° ACCIONES DE MEJORA QUE NO APLICAN</t>
  </si>
  <si>
    <t>N° ACCIONES DE MEJORA QUE 
NO APLICAN</t>
  </si>
  <si>
    <t>% OPORTUNIDADES DE MEJORA CERRADAS</t>
  </si>
  <si>
    <t xml:space="preserve">Gestión Salud Pública y Territorial - Evaluar el proceso  y componentes </t>
  </si>
  <si>
    <t>Proceso Gestión de la Salud Pública y Territorial</t>
  </si>
  <si>
    <t>Claudia González González / 
Héctor Vallejo Velásquez</t>
  </si>
  <si>
    <t>Gestión Financiera - Proceso Gestión Financiera evaluación Costos</t>
  </si>
  <si>
    <t>Procedimiento Gestión de Costos</t>
  </si>
  <si>
    <t>Elemento Organizacional Evaluado</t>
  </si>
  <si>
    <t>Año realización</t>
  </si>
  <si>
    <t>N° Oportunudades de mejora</t>
  </si>
  <si>
    <t>Proceso</t>
  </si>
  <si>
    <t>Unidad administrativa</t>
  </si>
  <si>
    <t>Plan de mejora</t>
  </si>
  <si>
    <t>Total</t>
  </si>
  <si>
    <t>Si</t>
  </si>
  <si>
    <t>No</t>
  </si>
  <si>
    <t>Auditoría Cajas menores</t>
  </si>
  <si>
    <t>Auditoría Procedimiento Atención por Cirugía</t>
  </si>
  <si>
    <t>Auditoría Proceso Gestión Venta de Servicios</t>
  </si>
  <si>
    <t>Auditoría Proceso atención en urgencias</t>
  </si>
  <si>
    <t>Auditoría Proceso Atención en Hospitalización</t>
  </si>
  <si>
    <t>Auditoría Proceso Gestión Servicio Farmacéutico</t>
  </si>
  <si>
    <t>Auditoría Proceso Gestión Jurídica</t>
  </si>
  <si>
    <t>Auditoría Proceso Atención en laboratorio</t>
  </si>
  <si>
    <t>Auditoría Proceso de Gestión Financiera</t>
  </si>
  <si>
    <t>Auditoría Distribución y Control del Inventario de Bienes Muebles</t>
  </si>
  <si>
    <t>Auditoría Proceso Gestión Documental</t>
  </si>
  <si>
    <t>Auditoría Proceso Atención Ambulatoria</t>
  </si>
  <si>
    <t>Auditoría Proceso Atención en Promoción y Prevención</t>
  </si>
  <si>
    <t>Auditoría Proceso de Atención en Urgencias</t>
  </si>
  <si>
    <t>Auditoría Procedimiento control del inventario de bienes muebles e inmuebles</t>
  </si>
  <si>
    <t>Auditoría Contrato de corretaje Fusión Seguros Ltda.</t>
  </si>
  <si>
    <t>Auditoría Atención de Imágenes Diagnósticas</t>
  </si>
  <si>
    <t>Auditoría Cuadros de turnos, pagos de nómina conductores de ambulancia</t>
  </si>
  <si>
    <t>Auditoría Diligenciamiento y custodia del Consentimiento Informado</t>
  </si>
  <si>
    <t>Auditoría Programa de Vivienda de la ESE Metrosalud</t>
  </si>
  <si>
    <t>Auditoría Proceso de Atención en PyP Programa Riesgo Cardiovascular</t>
  </si>
  <si>
    <t>Auditoría Proceso Atención Integral Farmacéutica (PM 08)</t>
  </si>
  <si>
    <t>Auditoría Proceso de Gestión Venta de Servicios</t>
  </si>
  <si>
    <t>Auditoría Supervisión contratos 996, 1576 y 3793 de 2019</t>
  </si>
  <si>
    <t>Auditoría Proceso de Atención Quirúrgica</t>
  </si>
  <si>
    <t>Auditoría Proceso Gestión Docencia Servicio</t>
  </si>
  <si>
    <t>Auditoría Gestión cuadro de turnos</t>
  </si>
  <si>
    <t>Auditoría Contratación Prestación de Servicios</t>
  </si>
  <si>
    <t>Auditoría Procedimiento Control de Inventarios Bienes de Consumo</t>
  </si>
  <si>
    <t>Auditoría Desarrollo Sistema de Gestión</t>
  </si>
  <si>
    <t>Auditoría Gestión Financiera – Instructivo Cuadre de Caja</t>
  </si>
  <si>
    <t>Auditoría Procedimientos de facturación, cartera y gestión de las glosa</t>
  </si>
  <si>
    <t>Auditoría Condiciones de Seguridad Física y Ambientales servicios de urgencias</t>
  </si>
  <si>
    <t>Auditoría Procedimiento Atención del Usuario en Hospitalización</t>
  </si>
  <si>
    <t>Auditoría Contratos No.1815, 2385, 2502, 3999, 4122, 4669, 4686, 5641, 5824, 5860</t>
  </si>
  <si>
    <t>Auditoría Ciclo de Atención Materno Perinatal</t>
  </si>
  <si>
    <t>Auditoría Manejo de archivo clínico</t>
  </si>
  <si>
    <t>Auditoría Gestión de camas</t>
  </si>
  <si>
    <t>Auditoría Procedimiento Mantenimiento de Bienes - Equipos Biomédicos</t>
  </si>
  <si>
    <t>Auditoría Proceso de Referencia y Contrarreferencia Institucional</t>
  </si>
  <si>
    <t>Auditoría Proceso de Gestión del Talento Humano</t>
  </si>
  <si>
    <t>Auditoría Liquidación de Convenios Interadministrativos - Instructivo Gestión de Convenios</t>
  </si>
  <si>
    <t>Auditoría Condiciones de Almacenamiento de Medicamentos y Dispositivos Proyectos Salud Pública</t>
  </si>
  <si>
    <t>Auditoría Supervisión de contratos de tercerías y otros durante el 2021</t>
  </si>
  <si>
    <t>Auditoría Mantenimiento de Bienes - Equipos Biomédicos</t>
  </si>
  <si>
    <t>Auditoría Programa de Auditoria para el Mejoramiento de Calidad, (PAMEC) de SOGC.</t>
  </si>
  <si>
    <t>Auditoría Gestión de Bienes Muebles, Traslados y Reintegro de estos</t>
  </si>
  <si>
    <t>Auditoría Instructivo Legalización de Donaciones de Bienes Muebles e Insumos por Urgencias Manifiesta</t>
  </si>
  <si>
    <t>Auditoría Aseguramiento de Bienes Muebles</t>
  </si>
  <si>
    <t>Auditoría Componente Comunicación organizacional</t>
  </si>
  <si>
    <t>Auditoría Contrato Interadministrativo 4600092294 para operar la ruta de promoción y mantenimiento de la salud</t>
  </si>
  <si>
    <t>Auditoría Gestión de los Medicamentos de Control Especial en las UH ESE Metrosalud</t>
  </si>
  <si>
    <t>Auditoría Cuadres de Caja del Procedimiento Facturacion usuarios- IN Cuadre de caja</t>
  </si>
  <si>
    <t>Auditoría Proceso Gestión Servicio Farmacéutico 2023 – Demanda no atendida</t>
  </si>
  <si>
    <t>Auditoría Tabla de indicadores del plan estratégico</t>
  </si>
  <si>
    <t>Auditoría Tesorería - Procedimiento Ejecución de Pagos - IN Causación de Factura o Cuenta de Cobro</t>
  </si>
  <si>
    <t>Auditoría Seguimiento periódico a la contratación y supervisión de bienes y servicios</t>
  </si>
  <si>
    <t>Auditoría Cajas Menores – Convenios Salud Pública y Gestión Territorial- Dirección Administrativa</t>
  </si>
  <si>
    <t>Auditoría Programa de Referencia y Contra referencia</t>
  </si>
  <si>
    <t>Auditoría Facturación, Cartera, Glosas, Cobro Persuasivo y Coactivo</t>
  </si>
  <si>
    <t>Auditoría Gestión Talento Humano</t>
  </si>
  <si>
    <t>Auditoría Procedimiento Gestión Presupuestal</t>
  </si>
  <si>
    <t>Auditoría Manejo de inventario de bienes mueble e inmuebles</t>
  </si>
  <si>
    <t>Auditoría Proceso Gestión Sistemas de Información: componente seguridad de la información</t>
  </si>
  <si>
    <t>Auditoría Tesorería</t>
  </si>
  <si>
    <t>Auditoría Procedimiento Gestión de Costos</t>
  </si>
  <si>
    <t>Auditoría Atención Hospitalización – UH Nuevo Occidente</t>
  </si>
  <si>
    <t>Auditoría Seguimiento al plan de mejora de a la auditoria de la Superintendencia de Salud en las Unidades Hospitalarias de: Castilla, Belén, San Javier, Manrique - Centros de Salud de: Estadio y El Raizal</t>
  </si>
  <si>
    <t>Auditoría Evaluación de las Unidades Hospitalarias de Belén, Manrique, Castilla, Centros de Salud Santo Domingo y CISAMF en los servicios de urgencias, hospitalización, cirugía, promoción y prevención, servicio transfusional, riesgo en salud, PAMEC y el proceso de facturación y glosas.</t>
  </si>
  <si>
    <t>Auditoría Atención en Hospitalización</t>
  </si>
  <si>
    <t>Auditoría Atención en Laboratorio Clínico</t>
  </si>
  <si>
    <t>ESTADO DE LAS ACCIONES DE MEJORAMIENTO AUDITORÍAS CON ENFOQUE EN RIESGOS POR UNIDAD ADMINISTRATIVA Y POR AÑO</t>
  </si>
  <si>
    <t>N° ACCIONES
DE MEJORA</t>
  </si>
  <si>
    <t>N°
OPORTUNIDADES
DE MEJORA</t>
  </si>
  <si>
    <t>N° ACCIONES
DE MEJORA
QUE
NO APLICAN</t>
  </si>
  <si>
    <t>N° ACCIONES
DE MEJORA
QUE APLICAN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</si>
</sst>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9">
    <font>
      <sz val="11"/>
      <color theme="1"/>
      <name val="Calibri"/>
      <family val="2"/>
      <scheme val="minor"/>
    </font>
    <font>
      <sz val="11"/>
      <color theme="1"/>
      <name val="Century Gothic"/>
      <family val="2"/>
    </font>
    <font>
      <b/>
      <sz val="11"/>
      <color theme="0"/>
      <name val="Century Gothic"/>
      <family val="2"/>
    </font>
    <font>
      <b/>
      <sz val="10"/>
      <color theme="1"/>
      <name val="Century Gothic"/>
      <family val="2"/>
    </font>
    <font>
      <b/>
      <sz val="10"/>
      <color theme="0"/>
      <name val="Century Gothic"/>
      <family val="2"/>
    </font>
    <font>
      <u/>
      <sz val="11"/>
      <color theme="10"/>
      <name val="Calibri"/>
      <family val="2"/>
      <scheme val="minor"/>
    </font>
    <font>
      <sz val="11"/>
      <name val="Century Gothic"/>
      <family val="2"/>
    </font>
    <font>
      <sz val="10"/>
      <name val="Arial"/>
      <family val="2"/>
    </font>
    <font>
      <b/>
      <sz val="11"/>
      <name val="Century Gothic"/>
      <family val="2"/>
    </font>
    <font>
      <b/>
      <sz val="11"/>
      <color theme="1"/>
      <name val="Century Gothic"/>
      <family val="2"/>
    </font>
    <font>
      <sz val="11"/>
      <color rgb="FFFF0000"/>
      <name val="Calibri"/>
      <family val="2"/>
      <scheme val="minor"/>
    </font>
    <font>
      <b/>
      <sz val="12"/>
      <color theme="1"/>
      <name val="Century Gothic"/>
      <family val="2"/>
    </font>
    <font>
      <sz val="11"/>
      <color rgb="FFFF0000"/>
      <name val="Century Gothic"/>
      <family val="2"/>
    </font>
    <font>
      <sz val="10"/>
      <name val="Century Gothic"/>
      <family val="2"/>
    </font>
    <font>
      <b/>
      <sz val="10"/>
      <name val="Century Gothic"/>
      <family val="2"/>
    </font>
    <font>
      <b/>
      <sz val="12"/>
      <color rgb="FF000118"/>
      <name val="Nunito Sans"/>
    </font>
    <font>
      <b/>
      <sz val="14"/>
      <color rgb="FF4A4848"/>
      <name val="Arial"/>
      <family val="2"/>
    </font>
    <font>
      <sz val="11"/>
      <color rgb="FF3C4043"/>
      <name val="Consolas"/>
      <family val="3"/>
    </font>
    <font>
      <sz val="11"/>
      <color rgb="FF000000"/>
      <name val="Courier New"/>
      <family val="3"/>
    </font>
    <font>
      <sz val="12"/>
      <color rgb="FF000118"/>
      <name val="Nunito Sans"/>
    </font>
    <font>
      <b/>
      <sz val="16"/>
      <color rgb="FFFF0000"/>
      <name val="Arial"/>
      <family val="2"/>
    </font>
    <font>
      <sz val="16"/>
      <color rgb="FF2E8D51"/>
      <name val="Arial"/>
      <family val="2"/>
    </font>
    <font>
      <b/>
      <sz val="11"/>
      <color rgb="FF008000"/>
      <name val="Arial Unicode MS"/>
    </font>
    <font>
      <b/>
      <i/>
      <sz val="11"/>
      <name val="Century Gothic"/>
      <family val="2"/>
    </font>
    <font>
      <sz val="11"/>
      <color rgb="FF333333"/>
      <name val="Arial"/>
      <family val="2"/>
    </font>
    <font>
      <b/>
      <sz val="16"/>
      <name val="Century Gothic"/>
      <family val="2"/>
    </font>
    <font>
      <sz val="11"/>
      <color theme="0" tint="-4.9989318521683403E-2"/>
      <name val="Century Gothic"/>
      <family val="2"/>
    </font>
    <font>
      <sz val="12"/>
      <color theme="1"/>
      <name val="Century Gothic"/>
      <family val="2"/>
    </font>
    <font>
      <b/>
      <sz val="12"/>
      <name val="Century Gothic"/>
      <family val="2"/>
    </font>
    <font>
      <b/>
      <sz val="16"/>
      <color theme="1"/>
      <name val="Century Gothic"/>
      <family val="2"/>
    </font>
    <font>
      <b/>
      <sz val="11"/>
      <color theme="0" tint="-4.9989318521683403E-2"/>
      <name val="Century Gothic"/>
      <family val="2"/>
    </font>
    <font>
      <sz val="10"/>
      <color theme="0" tint="-4.9989318521683403E-2"/>
      <name val="Century Gothic"/>
      <family val="2"/>
    </font>
    <font>
      <sz val="11"/>
      <color theme="1"/>
      <name val="Calibri"/>
      <family val="2"/>
      <scheme val="minor"/>
    </font>
    <font>
      <sz val="9"/>
      <color theme="1"/>
      <name val="Century Gothic"/>
      <family val="2"/>
    </font>
    <font>
      <b/>
      <sz val="9"/>
      <color theme="1"/>
      <name val="Century Gothic"/>
      <family val="2"/>
    </font>
    <font>
      <u/>
      <sz val="11"/>
      <color theme="10"/>
      <name val="Century Gothic"/>
      <family val="2"/>
    </font>
    <font>
      <sz val="11"/>
      <color rgb="FF333333"/>
      <name val="Century Gothic"/>
      <family val="2"/>
    </font>
    <font>
      <sz val="11"/>
      <color theme="0" tint="-0.14999847407452621"/>
      <name val="Century Gothic"/>
      <family val="2"/>
    </font>
    <font>
      <b/>
      <sz val="11"/>
      <color theme="0" tint="-0.14999847407452621"/>
      <name val="Century Gothic"/>
      <family val="2"/>
    </font>
  </fonts>
  <fills count="14">
    <fill>
      <patternFill patternType="none"/>
    </fill>
    <fill>
      <patternFill patternType="gray125"/>
    </fill>
    <fill>
      <patternFill patternType="solid">
        <fgColor theme="0" tint="-4.9989318521683403E-2"/>
        <bgColor indexed="64"/>
      </patternFill>
    </fill>
    <fill>
      <patternFill patternType="solid">
        <fgColor rgb="FF00B050"/>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rgb="FF006600"/>
        <bgColor indexed="64"/>
      </patternFill>
    </fill>
    <fill>
      <patternFill patternType="solid">
        <fgColor rgb="FF0000CC"/>
        <bgColor indexed="64"/>
      </patternFill>
    </fill>
    <fill>
      <patternFill patternType="solid">
        <fgColor rgb="FFFFC000"/>
        <bgColor indexed="64"/>
      </patternFill>
    </fill>
    <fill>
      <patternFill patternType="solid">
        <fgColor theme="8" tint="0.79998168889431442"/>
        <bgColor indexed="64"/>
      </patternFill>
    </fill>
    <fill>
      <patternFill patternType="solid">
        <fgColor theme="6"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ck">
        <color rgb="FF888888"/>
      </left>
      <right style="medium">
        <color rgb="FF888888"/>
      </right>
      <top style="medium">
        <color rgb="FF888888"/>
      </top>
      <bottom style="medium">
        <color rgb="FF888888"/>
      </bottom>
      <diagonal/>
    </border>
  </borders>
  <cellStyleXfs count="5">
    <xf numFmtId="0" fontId="0" fillId="0" borderId="0"/>
    <xf numFmtId="0" fontId="5" fillId="0" borderId="0" applyNumberFormat="0" applyFill="0" applyBorder="0" applyAlignment="0" applyProtection="0"/>
    <xf numFmtId="0" fontId="7" fillId="0" borderId="0"/>
    <xf numFmtId="0" fontId="7" fillId="0" borderId="0"/>
    <xf numFmtId="9" fontId="32" fillId="0" borderId="0" applyFont="0" applyFill="0" applyBorder="0" applyAlignment="0" applyProtection="0"/>
  </cellStyleXfs>
  <cellXfs count="219">
    <xf numFmtId="0" fontId="0" fillId="0" borderId="0" xfId="0"/>
    <xf numFmtId="0" fontId="3"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164" fontId="8" fillId="2" borderId="1" xfId="2" applyNumberFormat="1" applyFont="1" applyFill="1" applyBorder="1" applyAlignment="1">
      <alignment horizontal="center" vertical="center"/>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xf>
    <xf numFmtId="14" fontId="5" fillId="0" borderId="1" xfId="1" applyNumberFormat="1" applyFill="1" applyBorder="1" applyAlignment="1">
      <alignment horizontal="center" vertical="center" wrapText="1"/>
    </xf>
    <xf numFmtId="0" fontId="11" fillId="0" borderId="0" xfId="0" applyFont="1" applyAlignment="1">
      <alignment vertical="center"/>
    </xf>
    <xf numFmtId="0" fontId="2" fillId="8" borderId="2" xfId="0" applyFont="1" applyFill="1" applyBorder="1" applyAlignment="1">
      <alignment vertical="center"/>
    </xf>
    <xf numFmtId="0" fontId="1" fillId="2" borderId="13" xfId="0" applyFont="1" applyFill="1" applyBorder="1" applyAlignment="1">
      <alignment horizontal="center" vertical="center"/>
    </xf>
    <xf numFmtId="0" fontId="1" fillId="0" borderId="1" xfId="0" applyFont="1" applyFill="1" applyBorder="1" applyAlignment="1">
      <alignment horizontal="center" vertical="center"/>
    </xf>
    <xf numFmtId="0" fontId="2" fillId="8" borderId="4" xfId="0" applyFont="1" applyFill="1" applyBorder="1" applyAlignment="1">
      <alignment vertical="center"/>
    </xf>
    <xf numFmtId="0" fontId="2" fillId="9" borderId="2" xfId="0" applyFont="1" applyFill="1" applyBorder="1" applyAlignment="1">
      <alignment vertical="center"/>
    </xf>
    <xf numFmtId="0" fontId="2" fillId="10" borderId="2" xfId="0" applyFont="1" applyFill="1" applyBorder="1" applyAlignment="1">
      <alignment vertical="center"/>
    </xf>
    <xf numFmtId="0" fontId="9" fillId="11" borderId="2" xfId="0" applyFont="1" applyFill="1" applyBorder="1" applyAlignment="1">
      <alignment vertical="center"/>
    </xf>
    <xf numFmtId="0" fontId="1" fillId="0" borderId="1" xfId="0" applyFont="1" applyBorder="1" applyAlignment="1">
      <alignment vertical="center"/>
    </xf>
    <xf numFmtId="0" fontId="1" fillId="0" borderId="7" xfId="0" applyFont="1" applyBorder="1"/>
    <xf numFmtId="0" fontId="0" fillId="0" borderId="7" xfId="0" applyBorder="1"/>
    <xf numFmtId="0" fontId="1" fillId="0" borderId="14" xfId="0" applyFont="1" applyBorder="1"/>
    <xf numFmtId="0" fontId="0" fillId="0" borderId="14" xfId="0" applyBorder="1"/>
    <xf numFmtId="0" fontId="12" fillId="0" borderId="14" xfId="0" applyFont="1" applyBorder="1"/>
    <xf numFmtId="0" fontId="10" fillId="0" borderId="14" xfId="0" applyFont="1" applyBorder="1"/>
    <xf numFmtId="0" fontId="0" fillId="0" borderId="12" xfId="0" applyBorder="1"/>
    <xf numFmtId="0" fontId="13" fillId="0" borderId="0" xfId="2" applyFont="1" applyAlignment="1">
      <alignment vertical="center"/>
    </xf>
    <xf numFmtId="0" fontId="14" fillId="0" borderId="0" xfId="2" applyFont="1" applyAlignment="1">
      <alignment horizontal="center" vertical="center"/>
    </xf>
    <xf numFmtId="0" fontId="13" fillId="0" borderId="0" xfId="3" applyFont="1" applyAlignment="1">
      <alignment vertical="center"/>
    </xf>
    <xf numFmtId="0" fontId="13" fillId="0" borderId="0" xfId="3" applyFont="1" applyAlignment="1">
      <alignment horizontal="center" vertical="center"/>
    </xf>
    <xf numFmtId="0" fontId="15" fillId="0" borderId="0" xfId="3" applyFont="1"/>
    <xf numFmtId="0" fontId="16" fillId="0" borderId="0" xfId="3" applyFont="1"/>
    <xf numFmtId="0" fontId="17" fillId="0" borderId="0" xfId="3" applyFont="1"/>
    <xf numFmtId="0" fontId="16" fillId="0" borderId="0" xfId="3" applyFont="1" applyAlignment="1"/>
    <xf numFmtId="0" fontId="18" fillId="0" borderId="17" xfId="3" applyFont="1" applyBorder="1" applyAlignment="1">
      <alignment vertical="center" readingOrder="1"/>
    </xf>
    <xf numFmtId="0" fontId="19" fillId="0" borderId="0" xfId="3" applyFont="1"/>
    <xf numFmtId="0" fontId="20" fillId="0" borderId="0" xfId="3" applyFont="1" applyAlignment="1">
      <alignment horizontal="left" vertical="center" indent="3"/>
    </xf>
    <xf numFmtId="0" fontId="22" fillId="0" borderId="0" xfId="3" applyFont="1"/>
    <xf numFmtId="0" fontId="6" fillId="0" borderId="1" xfId="3" applyFont="1" applyBorder="1" applyAlignment="1" applyProtection="1">
      <alignment vertical="center" wrapText="1"/>
      <protection locked="0"/>
    </xf>
    <xf numFmtId="0" fontId="6" fillId="0" borderId="12" xfId="2" applyFont="1" applyBorder="1" applyAlignment="1" applyProtection="1">
      <alignment vertical="center" wrapText="1"/>
      <protection locked="0"/>
    </xf>
    <xf numFmtId="0" fontId="6" fillId="0" borderId="12" xfId="3" applyFont="1" applyBorder="1" applyAlignment="1" applyProtection="1">
      <alignment vertical="center" wrapText="1"/>
      <protection locked="0"/>
    </xf>
    <xf numFmtId="164" fontId="8" fillId="2" borderId="12" xfId="3" applyNumberFormat="1" applyFont="1" applyFill="1" applyBorder="1" applyAlignment="1">
      <alignment horizontal="center" vertical="center"/>
    </xf>
    <xf numFmtId="0" fontId="6" fillId="0" borderId="1" xfId="2" applyFont="1" applyBorder="1" applyAlignment="1">
      <alignment horizontal="center" vertical="center"/>
    </xf>
    <xf numFmtId="14" fontId="6" fillId="0" borderId="1" xfId="2" applyNumberFormat="1" applyFont="1" applyBorder="1" applyAlignment="1">
      <alignment horizontal="center" vertical="center"/>
    </xf>
    <xf numFmtId="164" fontId="8" fillId="2" borderId="1" xfId="3" applyNumberFormat="1" applyFont="1" applyFill="1" applyBorder="1" applyAlignment="1">
      <alignment horizontal="center" vertical="center"/>
    </xf>
    <xf numFmtId="0" fontId="6" fillId="0" borderId="1" xfId="2" applyFont="1" applyBorder="1" applyAlignment="1" applyProtection="1">
      <alignment vertical="center" wrapText="1"/>
      <protection locked="0"/>
    </xf>
    <xf numFmtId="0" fontId="6" fillId="0" borderId="1" xfId="3" applyFont="1" applyBorder="1" applyAlignment="1">
      <alignment horizontal="center" vertical="center"/>
    </xf>
    <xf numFmtId="0" fontId="6" fillId="0" borderId="1" xfId="0" applyFont="1" applyBorder="1" applyAlignment="1" applyProtection="1">
      <alignment vertical="center" wrapText="1"/>
      <protection locked="0"/>
    </xf>
    <xf numFmtId="0" fontId="6" fillId="0" borderId="1" xfId="3" applyFont="1" applyBorder="1" applyAlignment="1" applyProtection="1">
      <alignment horizontal="left" vertical="center" wrapText="1"/>
      <protection locked="0"/>
    </xf>
    <xf numFmtId="0" fontId="6" fillId="0" borderId="1" xfId="3" applyFont="1" applyBorder="1" applyAlignment="1" applyProtection="1">
      <alignment horizontal="center" vertical="center" wrapText="1"/>
      <protection locked="0"/>
    </xf>
    <xf numFmtId="0" fontId="8" fillId="2" borderId="1" xfId="3" applyFont="1" applyFill="1" applyBorder="1" applyAlignment="1">
      <alignment horizontal="center" vertical="center" wrapText="1"/>
    </xf>
    <xf numFmtId="0" fontId="6" fillId="0" borderId="0" xfId="2" applyFont="1" applyAlignment="1">
      <alignment horizontal="center" vertical="center"/>
    </xf>
    <xf numFmtId="0" fontId="8" fillId="0" borderId="0" xfId="2" applyFont="1" applyAlignment="1">
      <alignment horizontal="center" vertical="center"/>
    </xf>
    <xf numFmtId="0" fontId="24" fillId="0" borderId="0" xfId="3" applyFont="1" applyAlignment="1">
      <alignment horizontal="center"/>
    </xf>
    <xf numFmtId="0" fontId="6" fillId="0" borderId="0" xfId="3" applyFont="1" applyAlignment="1">
      <alignment horizontal="center" vertical="center"/>
    </xf>
    <xf numFmtId="0" fontId="6" fillId="0" borderId="0" xfId="2" applyFont="1" applyAlignment="1">
      <alignment vertical="center"/>
    </xf>
    <xf numFmtId="0" fontId="8" fillId="0" borderId="0" xfId="2" applyFont="1" applyAlignment="1">
      <alignment vertical="center"/>
    </xf>
    <xf numFmtId="0" fontId="6" fillId="0" borderId="0" xfId="3" applyFont="1" applyAlignment="1">
      <alignment vertical="center"/>
    </xf>
    <xf numFmtId="0" fontId="8" fillId="2" borderId="1" xfId="2" applyFont="1" applyFill="1" applyBorder="1" applyAlignment="1">
      <alignment horizontal="center" vertical="center" wrapText="1"/>
    </xf>
    <xf numFmtId="0" fontId="9" fillId="4"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24" fillId="0" borderId="0" xfId="3" applyFont="1"/>
    <xf numFmtId="0" fontId="24" fillId="0" borderId="0" xfId="2" applyFont="1"/>
    <xf numFmtId="14" fontId="5" fillId="0" borderId="1" xfId="1" applyNumberFormat="1" applyBorder="1" applyAlignment="1" applyProtection="1">
      <alignment horizontal="center" vertical="center" wrapText="1"/>
      <protection locked="0"/>
    </xf>
    <xf numFmtId="0" fontId="25" fillId="0" borderId="0" xfId="2" applyFont="1" applyAlignment="1">
      <alignment horizontal="left" vertical="center"/>
    </xf>
    <xf numFmtId="0" fontId="6" fillId="0" borderId="1" xfId="2" applyFont="1" applyFill="1" applyBorder="1" applyAlignment="1">
      <alignment horizontal="center" vertical="center"/>
    </xf>
    <xf numFmtId="14" fontId="6" fillId="0" borderId="1" xfId="2" applyNumberFormat="1" applyFont="1" applyFill="1" applyBorder="1" applyAlignment="1">
      <alignment horizontal="center" vertical="center"/>
    </xf>
    <xf numFmtId="0" fontId="6" fillId="0" borderId="1" xfId="3" applyFont="1" applyFill="1" applyBorder="1" applyAlignment="1">
      <alignment horizontal="center" vertical="center"/>
    </xf>
    <xf numFmtId="0" fontId="6" fillId="0" borderId="13" xfId="3" applyFont="1" applyFill="1" applyBorder="1" applyAlignment="1">
      <alignment horizontal="center" vertical="center"/>
    </xf>
    <xf numFmtId="0" fontId="6" fillId="0" borderId="15" xfId="3" applyFont="1" applyFill="1" applyBorder="1" applyAlignment="1">
      <alignment horizontal="center" vertical="center"/>
    </xf>
    <xf numFmtId="0" fontId="6" fillId="0" borderId="16" xfId="3" applyFont="1" applyFill="1" applyBorder="1" applyAlignment="1">
      <alignment horizontal="center" vertical="center"/>
    </xf>
    <xf numFmtId="0" fontId="3" fillId="7" borderId="1" xfId="0" applyFont="1" applyFill="1" applyBorder="1" applyAlignment="1">
      <alignment horizontal="center" vertical="center" wrapText="1"/>
    </xf>
    <xf numFmtId="0" fontId="6" fillId="0" borderId="12" xfId="3" applyFont="1" applyBorder="1" applyAlignment="1" applyProtection="1">
      <alignment horizontal="center" vertical="center" wrapText="1"/>
      <protection locked="0"/>
    </xf>
    <xf numFmtId="14" fontId="5" fillId="0" borderId="1" xfId="1" applyNumberFormat="1" applyFont="1" applyFill="1" applyBorder="1" applyAlignment="1">
      <alignment horizontal="center" vertical="center" wrapText="1"/>
    </xf>
    <xf numFmtId="14" fontId="5" fillId="0" borderId="1" xfId="1" applyNumberFormat="1" applyFont="1" applyBorder="1" applyAlignment="1" applyProtection="1">
      <alignment horizontal="center" vertical="center" wrapText="1"/>
      <protection locked="0"/>
    </xf>
    <xf numFmtId="0" fontId="26" fillId="0" borderId="0" xfId="2" applyFont="1" applyAlignment="1">
      <alignment horizontal="center" vertical="center"/>
    </xf>
    <xf numFmtId="0" fontId="9" fillId="7" borderId="1" xfId="0" applyFont="1" applyFill="1" applyBorder="1" applyAlignment="1">
      <alignment horizontal="center" vertical="center"/>
    </xf>
    <xf numFmtId="164" fontId="8" fillId="7" borderId="1" xfId="2" applyNumberFormat="1" applyFont="1" applyFill="1" applyBorder="1" applyAlignment="1">
      <alignment horizontal="center" vertical="center"/>
    </xf>
    <xf numFmtId="0" fontId="9" fillId="7" borderId="2" xfId="0" applyFont="1" applyFill="1" applyBorder="1" applyAlignment="1">
      <alignment horizontal="left" vertical="center"/>
    </xf>
    <xf numFmtId="0" fontId="9" fillId="7" borderId="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 xfId="0" applyFont="1" applyFill="1" applyBorder="1" applyAlignment="1">
      <alignment horizontal="centerContinuous" vertical="center"/>
    </xf>
    <xf numFmtId="0" fontId="9" fillId="2" borderId="3" xfId="0" applyFont="1" applyFill="1" applyBorder="1" applyAlignment="1">
      <alignment horizontal="centerContinuous" vertical="center" wrapText="1"/>
    </xf>
    <xf numFmtId="0" fontId="9" fillId="2" borderId="12" xfId="0" applyFont="1" applyFill="1" applyBorder="1" applyAlignment="1">
      <alignment horizontal="center" vertical="center" wrapText="1"/>
    </xf>
    <xf numFmtId="0" fontId="24" fillId="0" borderId="0" xfId="2" applyFont="1" applyFill="1"/>
    <xf numFmtId="0" fontId="6" fillId="0" borderId="0" xfId="3" applyFont="1" applyFill="1" applyAlignment="1">
      <alignment vertical="center"/>
    </xf>
    <xf numFmtId="0" fontId="6" fillId="0" borderId="0" xfId="2" applyFont="1" applyFill="1" applyAlignment="1">
      <alignment vertical="center"/>
    </xf>
    <xf numFmtId="0" fontId="27" fillId="0" borderId="1" xfId="0" applyFont="1" applyBorder="1" applyAlignment="1">
      <alignment horizontal="center" vertical="center"/>
    </xf>
    <xf numFmtId="164" fontId="28" fillId="2" borderId="1" xfId="2" applyNumberFormat="1" applyFont="1" applyFill="1" applyBorder="1" applyAlignment="1">
      <alignment horizontal="center" vertical="center"/>
    </xf>
    <xf numFmtId="0" fontId="11" fillId="7" borderId="1" xfId="0" applyFont="1" applyFill="1" applyBorder="1" applyAlignment="1">
      <alignment horizontal="left" vertical="center"/>
    </xf>
    <xf numFmtId="0" fontId="11" fillId="7" borderId="1" xfId="0" applyFont="1" applyFill="1" applyBorder="1" applyAlignment="1">
      <alignment horizontal="center" vertical="center"/>
    </xf>
    <xf numFmtId="164" fontId="28" fillId="7" borderId="1" xfId="2" applyNumberFormat="1" applyFont="1" applyFill="1" applyBorder="1" applyAlignment="1">
      <alignment horizontal="center" vertical="center"/>
    </xf>
    <xf numFmtId="0" fontId="11" fillId="0" borderId="1" xfId="0" applyFont="1" applyBorder="1" applyAlignment="1">
      <alignment horizontal="left" vertical="center" indent="1"/>
    </xf>
    <xf numFmtId="0" fontId="29" fillId="0" borderId="0" xfId="0" applyFont="1" applyAlignment="1">
      <alignment vertical="center"/>
    </xf>
    <xf numFmtId="0" fontId="1" fillId="0" borderId="0" xfId="0" applyFont="1" applyAlignment="1">
      <alignment vertical="center"/>
    </xf>
    <xf numFmtId="0" fontId="1" fillId="2" borderId="8" xfId="0" applyFont="1" applyFill="1" applyBorder="1" applyAlignment="1">
      <alignment horizontal="centerContinuous" vertical="center"/>
    </xf>
    <xf numFmtId="0" fontId="2" fillId="8" borderId="8" xfId="0" applyFont="1" applyFill="1" applyBorder="1" applyAlignment="1">
      <alignment vertical="center"/>
    </xf>
    <xf numFmtId="0" fontId="2" fillId="8" borderId="3" xfId="0" applyFont="1" applyFill="1" applyBorder="1" applyAlignment="1">
      <alignment vertical="center"/>
    </xf>
    <xf numFmtId="0" fontId="2" fillId="8" borderId="5" xfId="0" applyFont="1" applyFill="1" applyBorder="1" applyAlignment="1">
      <alignment vertical="center"/>
    </xf>
    <xf numFmtId="0" fontId="2" fillId="8" borderId="6" xfId="0" applyFont="1" applyFill="1" applyBorder="1" applyAlignment="1">
      <alignment vertical="center"/>
    </xf>
    <xf numFmtId="0" fontId="2" fillId="9" borderId="8" xfId="0" applyFont="1" applyFill="1" applyBorder="1" applyAlignment="1">
      <alignment vertical="center"/>
    </xf>
    <xf numFmtId="0" fontId="2" fillId="9" borderId="3" xfId="0" applyFont="1" applyFill="1" applyBorder="1" applyAlignment="1">
      <alignment vertical="center"/>
    </xf>
    <xf numFmtId="0" fontId="2" fillId="10" borderId="8" xfId="0" applyFont="1" applyFill="1" applyBorder="1" applyAlignment="1">
      <alignment vertical="center"/>
    </xf>
    <xf numFmtId="0" fontId="2" fillId="10" borderId="3" xfId="0" applyFont="1" applyFill="1" applyBorder="1" applyAlignment="1">
      <alignment vertical="center"/>
    </xf>
    <xf numFmtId="0" fontId="9" fillId="11" borderId="8" xfId="0" applyFont="1" applyFill="1" applyBorder="1" applyAlignment="1">
      <alignment vertical="center"/>
    </xf>
    <xf numFmtId="0" fontId="9" fillId="11" borderId="3" xfId="0" applyFont="1" applyFill="1" applyBorder="1" applyAlignment="1">
      <alignment vertical="center"/>
    </xf>
    <xf numFmtId="0" fontId="9" fillId="0" borderId="8" xfId="0" applyFont="1" applyFill="1" applyBorder="1" applyAlignment="1">
      <alignment vertical="center"/>
    </xf>
    <xf numFmtId="0" fontId="9" fillId="0" borderId="3" xfId="0" applyFont="1" applyFill="1" applyBorder="1" applyAlignment="1">
      <alignment vertical="center"/>
    </xf>
    <xf numFmtId="0" fontId="1" fillId="7" borderId="8" xfId="0" applyFont="1" applyFill="1" applyBorder="1" applyAlignment="1">
      <alignment vertical="center"/>
    </xf>
    <xf numFmtId="0" fontId="1" fillId="7" borderId="3" xfId="0" applyFont="1" applyFill="1" applyBorder="1" applyAlignment="1">
      <alignment vertical="center"/>
    </xf>
    <xf numFmtId="0" fontId="26" fillId="0" borderId="0" xfId="2" applyFont="1" applyAlignment="1">
      <alignment vertical="center"/>
    </xf>
    <xf numFmtId="0" fontId="30" fillId="0" borderId="0" xfId="2" applyFont="1" applyAlignment="1">
      <alignment horizontal="center" vertical="center"/>
    </xf>
    <xf numFmtId="0" fontId="31" fillId="0" borderId="0" xfId="2" applyFont="1" applyAlignment="1">
      <alignment vertical="center"/>
    </xf>
    <xf numFmtId="0" fontId="1" fillId="0" borderId="13"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0" fillId="0" borderId="0" xfId="0" applyAlignment="1">
      <alignment horizontal="left"/>
    </xf>
    <xf numFmtId="0" fontId="6" fillId="0" borderId="1" xfId="0" applyFont="1" applyFill="1" applyBorder="1" applyAlignment="1">
      <alignment horizontal="left" vertical="center" wrapText="1"/>
    </xf>
    <xf numFmtId="0" fontId="6" fillId="4" borderId="1" xfId="0" applyFont="1" applyFill="1" applyBorder="1" applyAlignment="1">
      <alignment horizontal="left" vertical="center" wrapText="1"/>
    </xf>
    <xf numFmtId="0" fontId="6" fillId="13" borderId="1" xfId="0" applyFont="1" applyFill="1" applyBorder="1" applyAlignment="1">
      <alignment horizontal="left" vertical="center" wrapText="1"/>
    </xf>
    <xf numFmtId="0" fontId="6" fillId="13" borderId="8" xfId="0" applyFont="1" applyFill="1" applyBorder="1" applyAlignment="1">
      <alignment horizontal="left" vertical="center" wrapText="1"/>
    </xf>
    <xf numFmtId="0" fontId="9" fillId="2" borderId="1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9" fillId="2" borderId="12"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24" fillId="0" borderId="0" xfId="3" applyFont="1" applyAlignment="1">
      <alignment horizontal="center" vertical="center"/>
    </xf>
    <xf numFmtId="0" fontId="24" fillId="0" borderId="0" xfId="3" applyFont="1" applyAlignment="1">
      <alignment vertical="center"/>
    </xf>
    <xf numFmtId="0" fontId="24" fillId="0" borderId="0" xfId="2" applyFont="1" applyAlignment="1">
      <alignment vertical="center"/>
    </xf>
    <xf numFmtId="0" fontId="24" fillId="0" borderId="0" xfId="2" applyFont="1" applyFill="1" applyAlignment="1">
      <alignment vertical="center"/>
    </xf>
    <xf numFmtId="0" fontId="24" fillId="0" borderId="0" xfId="2" applyFont="1" applyAlignment="1">
      <alignment horizontal="right" vertical="center"/>
    </xf>
    <xf numFmtId="164" fontId="8" fillId="0" borderId="0" xfId="4" applyNumberFormat="1" applyFont="1" applyAlignment="1">
      <alignment horizontal="center" vertical="center"/>
    </xf>
    <xf numFmtId="0" fontId="9" fillId="2" borderId="1" xfId="0" applyFont="1" applyFill="1" applyBorder="1" applyAlignment="1">
      <alignment horizontal="center" vertical="center" wrapText="1"/>
    </xf>
    <xf numFmtId="0" fontId="1" fillId="0" borderId="13" xfId="0" applyFont="1" applyFill="1" applyBorder="1" applyAlignment="1">
      <alignment horizontal="center" vertical="center"/>
    </xf>
    <xf numFmtId="164" fontId="8" fillId="0" borderId="1" xfId="2" applyNumberFormat="1" applyFont="1" applyFill="1" applyBorder="1" applyAlignment="1">
      <alignment horizontal="center" vertical="center"/>
    </xf>
    <xf numFmtId="0" fontId="9" fillId="2" borderId="13" xfId="0" applyFont="1" applyFill="1" applyBorder="1" applyAlignment="1">
      <alignment horizontal="center" vertical="center"/>
    </xf>
    <xf numFmtId="0" fontId="9" fillId="2" borderId="16" xfId="0" applyFont="1" applyFill="1" applyBorder="1" applyAlignment="1">
      <alignment horizontal="center" vertical="center"/>
    </xf>
    <xf numFmtId="0" fontId="27" fillId="0" borderId="13" xfId="0" applyFont="1" applyBorder="1" applyAlignment="1">
      <alignment horizontal="center" vertical="center"/>
    </xf>
    <xf numFmtId="164" fontId="28" fillId="2" borderId="16" xfId="2" applyNumberFormat="1" applyFont="1" applyFill="1" applyBorder="1" applyAlignment="1">
      <alignment horizontal="center" vertical="center"/>
    </xf>
    <xf numFmtId="0" fontId="11" fillId="7" borderId="13" xfId="0" applyFont="1" applyFill="1" applyBorder="1" applyAlignment="1">
      <alignment horizontal="center" vertical="center"/>
    </xf>
    <xf numFmtId="164" fontId="28" fillId="7" borderId="16" xfId="2" applyNumberFormat="1" applyFont="1" applyFill="1" applyBorder="1" applyAlignment="1">
      <alignment horizontal="center" vertical="center"/>
    </xf>
    <xf numFmtId="164" fontId="8" fillId="2" borderId="16" xfId="2" applyNumberFormat="1" applyFont="1" applyFill="1" applyBorder="1" applyAlignment="1">
      <alignment horizontal="center" vertical="center"/>
    </xf>
    <xf numFmtId="0" fontId="9" fillId="7" borderId="13" xfId="0" applyFont="1" applyFill="1" applyBorder="1" applyAlignment="1">
      <alignment horizontal="center" vertical="center"/>
    </xf>
    <xf numFmtId="164" fontId="8" fillId="7" borderId="16" xfId="2" applyNumberFormat="1" applyFont="1" applyFill="1" applyBorder="1" applyAlignment="1">
      <alignment horizontal="center" vertical="center"/>
    </xf>
    <xf numFmtId="0" fontId="1" fillId="0" borderId="13" xfId="0" applyFont="1" applyBorder="1" applyAlignment="1">
      <alignment horizontal="center" vertical="center"/>
    </xf>
    <xf numFmtId="0" fontId="9" fillId="2" borderId="12" xfId="0" applyFont="1" applyFill="1" applyBorder="1" applyAlignment="1">
      <alignment horizontal="center" vertical="center" wrapText="1"/>
    </xf>
    <xf numFmtId="0" fontId="33" fillId="0" borderId="0" xfId="0" applyFont="1" applyAlignment="1">
      <alignment vertical="center" wrapText="1"/>
    </xf>
    <xf numFmtId="0" fontId="33" fillId="0" borderId="0" xfId="0" applyFont="1" applyAlignment="1">
      <alignment vertical="center"/>
    </xf>
    <xf numFmtId="0" fontId="33" fillId="0" borderId="0" xfId="0" applyFont="1" applyAlignment="1">
      <alignment horizontal="center" vertical="center"/>
    </xf>
    <xf numFmtId="0" fontId="34" fillId="0" borderId="0" xfId="0" applyFont="1" applyAlignment="1">
      <alignment horizontal="center" vertical="center" wrapText="1"/>
    </xf>
    <xf numFmtId="0" fontId="34" fillId="0" borderId="1" xfId="0" applyFont="1" applyBorder="1" applyAlignment="1">
      <alignment horizontal="center" vertical="center" wrapText="1"/>
    </xf>
    <xf numFmtId="0" fontId="33" fillId="0" borderId="1" xfId="0" applyFont="1" applyBorder="1" applyAlignment="1">
      <alignment horizontal="center" vertical="center"/>
    </xf>
    <xf numFmtId="0" fontId="33" fillId="0" borderId="1" xfId="0" applyFont="1" applyBorder="1" applyAlignment="1">
      <alignment vertical="center" wrapText="1"/>
    </xf>
    <xf numFmtId="0" fontId="33" fillId="0" borderId="1" xfId="0" applyFont="1" applyBorder="1" applyAlignment="1">
      <alignment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1" xfId="0" applyFont="1" applyFill="1" applyBorder="1" applyAlignment="1">
      <alignment vertical="center"/>
    </xf>
    <xf numFmtId="0" fontId="34" fillId="2" borderId="13" xfId="0" applyFont="1" applyFill="1" applyBorder="1" applyAlignment="1">
      <alignment horizontal="center" vertical="center" wrapText="1"/>
    </xf>
    <xf numFmtId="0" fontId="34" fillId="2" borderId="16" xfId="0" applyFont="1" applyFill="1" applyBorder="1" applyAlignment="1">
      <alignment horizontal="center" vertical="center" wrapText="1"/>
    </xf>
    <xf numFmtId="0" fontId="33" fillId="0" borderId="13" xfId="0" applyFont="1" applyBorder="1" applyAlignment="1">
      <alignment horizontal="center" vertical="center" wrapText="1"/>
    </xf>
    <xf numFmtId="164" fontId="33" fillId="2" borderId="16" xfId="0" applyNumberFormat="1" applyFont="1" applyFill="1" applyBorder="1" applyAlignment="1">
      <alignment horizontal="center" vertical="center"/>
    </xf>
    <xf numFmtId="164" fontId="34" fillId="2" borderId="16" xfId="0" applyNumberFormat="1" applyFont="1" applyFill="1" applyBorder="1" applyAlignment="1">
      <alignment horizontal="center" vertical="center"/>
    </xf>
    <xf numFmtId="0" fontId="33" fillId="0" borderId="13" xfId="0" applyFont="1" applyBorder="1" applyAlignment="1">
      <alignment horizontal="center" vertical="center"/>
    </xf>
    <xf numFmtId="0" fontId="34" fillId="2" borderId="13" xfId="0" applyFont="1" applyFill="1" applyBorder="1" applyAlignment="1">
      <alignment horizontal="center" vertical="center"/>
    </xf>
    <xf numFmtId="0" fontId="34" fillId="0" borderId="0" xfId="0" applyFont="1" applyAlignment="1">
      <alignment vertical="center"/>
    </xf>
    <xf numFmtId="0" fontId="1" fillId="0" borderId="2" xfId="0" applyFont="1" applyBorder="1" applyAlignment="1">
      <alignment vertical="center"/>
    </xf>
    <xf numFmtId="0" fontId="2" fillId="0" borderId="8" xfId="0" applyFont="1" applyFill="1" applyBorder="1" applyAlignment="1">
      <alignment vertical="center"/>
    </xf>
    <xf numFmtId="0" fontId="2" fillId="0" borderId="3" xfId="0" applyFont="1" applyFill="1" applyBorder="1" applyAlignment="1">
      <alignment vertical="center"/>
    </xf>
    <xf numFmtId="0" fontId="9" fillId="0" borderId="2" xfId="0" applyFont="1" applyFill="1" applyBorder="1" applyAlignment="1">
      <alignment vertical="center"/>
    </xf>
    <xf numFmtId="0" fontId="1" fillId="0" borderId="8" xfId="0" applyFont="1" applyBorder="1" applyAlignment="1">
      <alignment vertical="center"/>
    </xf>
    <xf numFmtId="0" fontId="9" fillId="7" borderId="8" xfId="0" applyFont="1" applyFill="1" applyBorder="1" applyAlignment="1">
      <alignment horizontal="left" vertical="center"/>
    </xf>
    <xf numFmtId="14" fontId="35" fillId="0" borderId="1" xfId="1" applyNumberFormat="1" applyFont="1" applyFill="1" applyBorder="1" applyAlignment="1">
      <alignment horizontal="center" vertical="center" wrapText="1"/>
    </xf>
    <xf numFmtId="14" fontId="35" fillId="0" borderId="1" xfId="1" applyNumberFormat="1" applyFont="1" applyBorder="1" applyAlignment="1" applyProtection="1">
      <alignment horizontal="center" vertical="center" wrapText="1"/>
      <protection locked="0"/>
    </xf>
    <xf numFmtId="0" fontId="36" fillId="0" borderId="0" xfId="3" applyFont="1" applyAlignment="1">
      <alignment horizontal="center" vertical="center"/>
    </xf>
    <xf numFmtId="0" fontId="37" fillId="0" borderId="0" xfId="2" applyFont="1" applyAlignment="1">
      <alignment vertical="center"/>
    </xf>
    <xf numFmtId="0" fontId="37" fillId="0" borderId="0" xfId="2" applyFont="1" applyAlignment="1">
      <alignment horizontal="center" vertical="center"/>
    </xf>
    <xf numFmtId="0" fontId="38" fillId="0" borderId="0" xfId="2" applyFont="1" applyAlignment="1">
      <alignment horizontal="center" vertical="center"/>
    </xf>
    <xf numFmtId="0" fontId="34" fillId="2" borderId="1" xfId="0" applyFont="1" applyFill="1" applyBorder="1" applyAlignment="1">
      <alignment horizontal="center" vertical="center" wrapText="1"/>
    </xf>
    <xf numFmtId="0" fontId="34" fillId="2" borderId="1" xfId="0" applyFont="1" applyFill="1" applyBorder="1" applyAlignment="1">
      <alignment horizontal="center" vertical="center"/>
    </xf>
    <xf numFmtId="0" fontId="34" fillId="2" borderId="7" xfId="0"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7"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12"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2" borderId="1" xfId="0" applyFont="1" applyFill="1" applyBorder="1" applyAlignment="1">
      <alignment horizontal="center" vertical="center"/>
    </xf>
  </cellXfs>
  <cellStyles count="5">
    <cellStyle name="Hipervínculo" xfId="1" builtinId="8"/>
    <cellStyle name="Normal" xfId="0" builtinId="0"/>
    <cellStyle name="Normal 2" xfId="2"/>
    <cellStyle name="Normal 4" xfId="3"/>
    <cellStyle name="Porcentaje" xfId="4" builtinId="5"/>
  </cellStyles>
  <dxfs count="550">
    <dxf>
      <font>
        <color theme="0"/>
      </font>
    </dxf>
    <dxf>
      <font>
        <color theme="0"/>
      </font>
    </dxf>
    <dxf>
      <font>
        <color theme="0"/>
      </font>
    </dxf>
    <dxf>
      <font>
        <color theme="0"/>
      </font>
    </dxf>
    <dxf>
      <font>
        <color theme="0"/>
      </font>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theme="0"/>
      </font>
      <fill>
        <patternFill patternType="none">
          <bgColor auto="1"/>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theme="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C000"/>
      <color rgb="FF006600"/>
      <color rgb="FF0000CC"/>
      <color rgb="FFC0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'Consolidado por Año 05-01-2024'!$B$5:$B$9</c:f>
              <c:numCache>
                <c:formatCode>General</c:formatCode>
                <c:ptCount val="5"/>
                <c:pt idx="0">
                  <c:v>2019</c:v>
                </c:pt>
                <c:pt idx="1">
                  <c:v>2020</c:v>
                </c:pt>
                <c:pt idx="2">
                  <c:v>2021</c:v>
                </c:pt>
                <c:pt idx="3">
                  <c:v>2022</c:v>
                </c:pt>
                <c:pt idx="4">
                  <c:v>2023</c:v>
                </c:pt>
              </c:numCache>
            </c:numRef>
          </c:cat>
          <c:val>
            <c:numRef>
              <c:f>'Consolidado por Año 05-01-2024'!$L$5:$L$9</c:f>
              <c:numCache>
                <c:formatCode>0.0%</c:formatCode>
                <c:ptCount val="5"/>
                <c:pt idx="0">
                  <c:v>0.84615384615384615</c:v>
                </c:pt>
                <c:pt idx="1">
                  <c:v>0.5</c:v>
                </c:pt>
                <c:pt idx="2">
                  <c:v>0.6</c:v>
                </c:pt>
                <c:pt idx="3">
                  <c:v>0.23076923076923078</c:v>
                </c:pt>
                <c:pt idx="4">
                  <c:v>0.2</c:v>
                </c:pt>
              </c:numCache>
            </c:numRef>
          </c:val>
          <c:extLst>
            <c:ext xmlns:c16="http://schemas.microsoft.com/office/drawing/2014/chart" uri="{C3380CC4-5D6E-409C-BE32-E72D297353CC}">
              <c16:uniqueId val="{00000000-405D-4EDC-9766-6B9DACF03A56}"/>
            </c:ext>
          </c:extLst>
        </c:ser>
        <c:dLbls>
          <c:dLblPos val="outEnd"/>
          <c:showLegendKey val="0"/>
          <c:showVal val="1"/>
          <c:showCatName val="0"/>
          <c:showSerName val="0"/>
          <c:showPercent val="0"/>
          <c:showBubbleSize val="0"/>
        </c:dLbls>
        <c:gapWidth val="219"/>
        <c:overlap val="-27"/>
        <c:axId val="213613560"/>
        <c:axId val="213613952"/>
      </c:barChart>
      <c:catAx>
        <c:axId val="213613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3613952"/>
        <c:crosses val="autoZero"/>
        <c:auto val="1"/>
        <c:lblAlgn val="ctr"/>
        <c:lblOffset val="100"/>
        <c:noMultiLvlLbl val="0"/>
      </c:catAx>
      <c:valAx>
        <c:axId val="213613952"/>
        <c:scaling>
          <c:orientation val="minMax"/>
          <c:max val="1"/>
        </c:scaling>
        <c:delete val="1"/>
        <c:axPos val="l"/>
        <c:numFmt formatCode="0.0%" sourceLinked="1"/>
        <c:majorTickMark val="none"/>
        <c:minorTickMark val="none"/>
        <c:tickLblPos val="nextTo"/>
        <c:crossAx val="213613560"/>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'Consolidado por Año 05-01-2024'!$B$5:$B$9</c:f>
              <c:numCache>
                <c:formatCode>General</c:formatCode>
                <c:ptCount val="5"/>
                <c:pt idx="0">
                  <c:v>2019</c:v>
                </c:pt>
                <c:pt idx="1">
                  <c:v>2020</c:v>
                </c:pt>
                <c:pt idx="2">
                  <c:v>2021</c:v>
                </c:pt>
                <c:pt idx="3">
                  <c:v>2022</c:v>
                </c:pt>
                <c:pt idx="4">
                  <c:v>2023</c:v>
                </c:pt>
              </c:numCache>
            </c:numRef>
          </c:cat>
          <c:val>
            <c:numRef>
              <c:f>'Consolidado por Año 05-01-2024'!$M$5:$M$9</c:f>
              <c:numCache>
                <c:formatCode>0.0%</c:formatCode>
                <c:ptCount val="5"/>
                <c:pt idx="0">
                  <c:v>0.32692307692307693</c:v>
                </c:pt>
                <c:pt idx="1">
                  <c:v>0.2711864406779661</c:v>
                </c:pt>
                <c:pt idx="2">
                  <c:v>0.27536231884057971</c:v>
                </c:pt>
                <c:pt idx="3">
                  <c:v>0.25</c:v>
                </c:pt>
                <c:pt idx="4">
                  <c:v>0</c:v>
                </c:pt>
              </c:numCache>
            </c:numRef>
          </c:val>
          <c:extLst>
            <c:ext xmlns:c16="http://schemas.microsoft.com/office/drawing/2014/chart" uri="{C3380CC4-5D6E-409C-BE32-E72D297353CC}">
              <c16:uniqueId val="{00000000-1F8B-4004-B578-DE865F4BF3F0}"/>
            </c:ext>
          </c:extLst>
        </c:ser>
        <c:dLbls>
          <c:dLblPos val="outEnd"/>
          <c:showLegendKey val="0"/>
          <c:showVal val="1"/>
          <c:showCatName val="0"/>
          <c:showSerName val="0"/>
          <c:showPercent val="0"/>
          <c:showBubbleSize val="0"/>
        </c:dLbls>
        <c:gapWidth val="219"/>
        <c:overlap val="-27"/>
        <c:axId val="213614736"/>
        <c:axId val="213610424"/>
      </c:barChart>
      <c:catAx>
        <c:axId val="21361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3610424"/>
        <c:crosses val="autoZero"/>
        <c:auto val="1"/>
        <c:lblAlgn val="ctr"/>
        <c:lblOffset val="100"/>
        <c:noMultiLvlLbl val="0"/>
      </c:catAx>
      <c:valAx>
        <c:axId val="213610424"/>
        <c:scaling>
          <c:orientation val="minMax"/>
          <c:max val="1"/>
        </c:scaling>
        <c:delete val="1"/>
        <c:axPos val="l"/>
        <c:numFmt formatCode="0.0%" sourceLinked="1"/>
        <c:majorTickMark val="none"/>
        <c:minorTickMark val="none"/>
        <c:tickLblPos val="nextTo"/>
        <c:crossAx val="213614736"/>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'Consolidado por Año 05-01-2024'!$B$5:$B$9</c:f>
              <c:numCache>
                <c:formatCode>General</c:formatCode>
                <c:ptCount val="5"/>
                <c:pt idx="0">
                  <c:v>2019</c:v>
                </c:pt>
                <c:pt idx="1">
                  <c:v>2020</c:v>
                </c:pt>
                <c:pt idx="2">
                  <c:v>2021</c:v>
                </c:pt>
                <c:pt idx="3">
                  <c:v>2022</c:v>
                </c:pt>
                <c:pt idx="4">
                  <c:v>2023</c:v>
                </c:pt>
              </c:numCache>
            </c:numRef>
          </c:cat>
          <c:val>
            <c:numRef>
              <c:f>'Consolidado por Año 05-01-2024'!$P$5:$P$9</c:f>
              <c:numCache>
                <c:formatCode>0.0%</c:formatCode>
                <c:ptCount val="5"/>
                <c:pt idx="0">
                  <c:v>0.13793103448275862</c:v>
                </c:pt>
                <c:pt idx="1">
                  <c:v>0.18556701030927836</c:v>
                </c:pt>
                <c:pt idx="2">
                  <c:v>0.12359550561797752</c:v>
                </c:pt>
                <c:pt idx="3">
                  <c:v>0</c:v>
                </c:pt>
                <c:pt idx="4">
                  <c:v>0</c:v>
                </c:pt>
              </c:numCache>
            </c:numRef>
          </c:val>
          <c:extLst>
            <c:ext xmlns:c16="http://schemas.microsoft.com/office/drawing/2014/chart" uri="{C3380CC4-5D6E-409C-BE32-E72D297353CC}">
              <c16:uniqueId val="{00000000-36CD-4DE6-99BC-B84AF1DC5B32}"/>
            </c:ext>
          </c:extLst>
        </c:ser>
        <c:dLbls>
          <c:dLblPos val="outEnd"/>
          <c:showLegendKey val="0"/>
          <c:showVal val="1"/>
          <c:showCatName val="0"/>
          <c:showSerName val="0"/>
          <c:showPercent val="0"/>
          <c:showBubbleSize val="0"/>
        </c:dLbls>
        <c:gapWidth val="219"/>
        <c:overlap val="-27"/>
        <c:axId val="213606896"/>
        <c:axId val="213615128"/>
      </c:barChart>
      <c:catAx>
        <c:axId val="21360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3615128"/>
        <c:crosses val="autoZero"/>
        <c:auto val="1"/>
        <c:lblAlgn val="ctr"/>
        <c:lblOffset val="100"/>
        <c:noMultiLvlLbl val="0"/>
      </c:catAx>
      <c:valAx>
        <c:axId val="213615128"/>
        <c:scaling>
          <c:orientation val="minMax"/>
          <c:max val="1"/>
        </c:scaling>
        <c:delete val="1"/>
        <c:axPos val="l"/>
        <c:numFmt formatCode="0.0%" sourceLinked="1"/>
        <c:majorTickMark val="none"/>
        <c:minorTickMark val="none"/>
        <c:tickLblPos val="nextTo"/>
        <c:crossAx val="213606896"/>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'Consolidado por Año 10012024'!$B$5:$B$9</c:f>
              <c:numCache>
                <c:formatCode>General</c:formatCode>
                <c:ptCount val="5"/>
                <c:pt idx="0">
                  <c:v>2019</c:v>
                </c:pt>
                <c:pt idx="1">
                  <c:v>2020</c:v>
                </c:pt>
                <c:pt idx="2">
                  <c:v>2021</c:v>
                </c:pt>
                <c:pt idx="3">
                  <c:v>2022</c:v>
                </c:pt>
                <c:pt idx="4">
                  <c:v>2023</c:v>
                </c:pt>
              </c:numCache>
            </c:numRef>
          </c:cat>
          <c:val>
            <c:numRef>
              <c:f>'Consolidado por Año 10012024'!$L$5:$L$9</c:f>
              <c:numCache>
                <c:formatCode>0.0%</c:formatCode>
                <c:ptCount val="5"/>
                <c:pt idx="0">
                  <c:v>0.84615384615384615</c:v>
                </c:pt>
                <c:pt idx="1">
                  <c:v>0.5</c:v>
                </c:pt>
                <c:pt idx="2">
                  <c:v>0.6</c:v>
                </c:pt>
                <c:pt idx="3">
                  <c:v>0.23076923076923078</c:v>
                </c:pt>
                <c:pt idx="4">
                  <c:v>0.19047619047619047</c:v>
                </c:pt>
              </c:numCache>
            </c:numRef>
          </c:val>
          <c:extLst>
            <c:ext xmlns:c16="http://schemas.microsoft.com/office/drawing/2014/chart" uri="{C3380CC4-5D6E-409C-BE32-E72D297353CC}">
              <c16:uniqueId val="{00000000-44C7-460F-8CCB-A6112FF967CC}"/>
            </c:ext>
          </c:extLst>
        </c:ser>
        <c:dLbls>
          <c:dLblPos val="outEnd"/>
          <c:showLegendKey val="0"/>
          <c:showVal val="1"/>
          <c:showCatName val="0"/>
          <c:showSerName val="0"/>
          <c:showPercent val="0"/>
          <c:showBubbleSize val="0"/>
        </c:dLbls>
        <c:gapWidth val="219"/>
        <c:overlap val="-27"/>
        <c:axId val="213607680"/>
        <c:axId val="213610032"/>
      </c:barChart>
      <c:catAx>
        <c:axId val="213607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3610032"/>
        <c:crosses val="autoZero"/>
        <c:auto val="1"/>
        <c:lblAlgn val="ctr"/>
        <c:lblOffset val="100"/>
        <c:noMultiLvlLbl val="0"/>
      </c:catAx>
      <c:valAx>
        <c:axId val="213610032"/>
        <c:scaling>
          <c:orientation val="minMax"/>
          <c:max val="1"/>
        </c:scaling>
        <c:delete val="1"/>
        <c:axPos val="l"/>
        <c:numFmt formatCode="0.0%" sourceLinked="1"/>
        <c:majorTickMark val="none"/>
        <c:minorTickMark val="none"/>
        <c:tickLblPos val="nextTo"/>
        <c:crossAx val="213607680"/>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'Consolidado por Año 10012024'!$B$5:$B$9</c:f>
              <c:numCache>
                <c:formatCode>General</c:formatCode>
                <c:ptCount val="5"/>
                <c:pt idx="0">
                  <c:v>2019</c:v>
                </c:pt>
                <c:pt idx="1">
                  <c:v>2020</c:v>
                </c:pt>
                <c:pt idx="2">
                  <c:v>2021</c:v>
                </c:pt>
                <c:pt idx="3">
                  <c:v>2022</c:v>
                </c:pt>
                <c:pt idx="4">
                  <c:v>2023</c:v>
                </c:pt>
              </c:numCache>
            </c:numRef>
          </c:cat>
          <c:val>
            <c:numRef>
              <c:f>'Consolidado por Año 10012024'!$M$5:$M$9</c:f>
              <c:numCache>
                <c:formatCode>0.0%</c:formatCode>
                <c:ptCount val="5"/>
                <c:pt idx="0">
                  <c:v>0.32692307692307693</c:v>
                </c:pt>
                <c:pt idx="1">
                  <c:v>0.2711864406779661</c:v>
                </c:pt>
                <c:pt idx="2">
                  <c:v>0.27536231884057971</c:v>
                </c:pt>
                <c:pt idx="3">
                  <c:v>0.25</c:v>
                </c:pt>
                <c:pt idx="4">
                  <c:v>0</c:v>
                </c:pt>
              </c:numCache>
            </c:numRef>
          </c:val>
          <c:extLst>
            <c:ext xmlns:c16="http://schemas.microsoft.com/office/drawing/2014/chart" uri="{C3380CC4-5D6E-409C-BE32-E72D297353CC}">
              <c16:uniqueId val="{00000000-7741-45AF-B029-4B43A284D944}"/>
            </c:ext>
          </c:extLst>
        </c:ser>
        <c:dLbls>
          <c:dLblPos val="outEnd"/>
          <c:showLegendKey val="0"/>
          <c:showVal val="1"/>
          <c:showCatName val="0"/>
          <c:showSerName val="0"/>
          <c:showPercent val="0"/>
          <c:showBubbleSize val="0"/>
        </c:dLbls>
        <c:gapWidth val="219"/>
        <c:overlap val="-27"/>
        <c:axId val="213612776"/>
        <c:axId val="213617872"/>
      </c:barChart>
      <c:catAx>
        <c:axId val="213612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3617872"/>
        <c:crosses val="autoZero"/>
        <c:auto val="1"/>
        <c:lblAlgn val="ctr"/>
        <c:lblOffset val="100"/>
        <c:noMultiLvlLbl val="0"/>
      </c:catAx>
      <c:valAx>
        <c:axId val="213617872"/>
        <c:scaling>
          <c:orientation val="minMax"/>
          <c:max val="1"/>
        </c:scaling>
        <c:delete val="1"/>
        <c:axPos val="l"/>
        <c:numFmt formatCode="0.0%" sourceLinked="1"/>
        <c:majorTickMark val="none"/>
        <c:minorTickMark val="none"/>
        <c:tickLblPos val="nextTo"/>
        <c:crossAx val="213612776"/>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'Consolidado por Año 10012024'!$B$5:$B$9</c:f>
              <c:numCache>
                <c:formatCode>General</c:formatCode>
                <c:ptCount val="5"/>
                <c:pt idx="0">
                  <c:v>2019</c:v>
                </c:pt>
                <c:pt idx="1">
                  <c:v>2020</c:v>
                </c:pt>
                <c:pt idx="2">
                  <c:v>2021</c:v>
                </c:pt>
                <c:pt idx="3">
                  <c:v>2022</c:v>
                </c:pt>
                <c:pt idx="4">
                  <c:v>2023</c:v>
                </c:pt>
              </c:numCache>
            </c:numRef>
          </c:cat>
          <c:val>
            <c:numRef>
              <c:f>'Consolidado por Año 10012024'!$P$5:$P$9</c:f>
              <c:numCache>
                <c:formatCode>0.0%</c:formatCode>
                <c:ptCount val="5"/>
                <c:pt idx="0">
                  <c:v>0.13793103448275862</c:v>
                </c:pt>
                <c:pt idx="1">
                  <c:v>0.18556701030927836</c:v>
                </c:pt>
                <c:pt idx="2">
                  <c:v>0.12359550561797752</c:v>
                </c:pt>
                <c:pt idx="3">
                  <c:v>0</c:v>
                </c:pt>
                <c:pt idx="4">
                  <c:v>0</c:v>
                </c:pt>
              </c:numCache>
            </c:numRef>
          </c:val>
          <c:extLst>
            <c:ext xmlns:c16="http://schemas.microsoft.com/office/drawing/2014/chart" uri="{C3380CC4-5D6E-409C-BE32-E72D297353CC}">
              <c16:uniqueId val="{00000000-9BC9-4F96-B891-865B8D5F9812}"/>
            </c:ext>
          </c:extLst>
        </c:ser>
        <c:dLbls>
          <c:dLblPos val="outEnd"/>
          <c:showLegendKey val="0"/>
          <c:showVal val="1"/>
          <c:showCatName val="0"/>
          <c:showSerName val="0"/>
          <c:showPercent val="0"/>
          <c:showBubbleSize val="0"/>
        </c:dLbls>
        <c:gapWidth val="219"/>
        <c:overlap val="-27"/>
        <c:axId val="213609640"/>
        <c:axId val="213615520"/>
      </c:barChart>
      <c:catAx>
        <c:axId val="213609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3615520"/>
        <c:crosses val="autoZero"/>
        <c:auto val="1"/>
        <c:lblAlgn val="ctr"/>
        <c:lblOffset val="100"/>
        <c:noMultiLvlLbl val="0"/>
      </c:catAx>
      <c:valAx>
        <c:axId val="213615520"/>
        <c:scaling>
          <c:orientation val="minMax"/>
          <c:max val="1"/>
        </c:scaling>
        <c:delete val="1"/>
        <c:axPos val="l"/>
        <c:numFmt formatCode="0.0%" sourceLinked="1"/>
        <c:majorTickMark val="none"/>
        <c:minorTickMark val="none"/>
        <c:tickLblPos val="nextTo"/>
        <c:crossAx val="213609640"/>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'Consolidado por Año'!$B$6:$B$10</c:f>
              <c:numCache>
                <c:formatCode>General</c:formatCode>
                <c:ptCount val="5"/>
                <c:pt idx="0">
                  <c:v>2019</c:v>
                </c:pt>
                <c:pt idx="1">
                  <c:v>2020</c:v>
                </c:pt>
                <c:pt idx="2">
                  <c:v>2021</c:v>
                </c:pt>
                <c:pt idx="3">
                  <c:v>2022</c:v>
                </c:pt>
                <c:pt idx="4">
                  <c:v>2023</c:v>
                </c:pt>
              </c:numCache>
            </c:numRef>
          </c:cat>
          <c:val>
            <c:numRef>
              <c:f>'Consolidado por Año'!$F$6:$F$10</c:f>
              <c:numCache>
                <c:formatCode>0.0%</c:formatCode>
                <c:ptCount val="5"/>
                <c:pt idx="0">
                  <c:v>0.84615384615384615</c:v>
                </c:pt>
                <c:pt idx="1">
                  <c:v>0.5</c:v>
                </c:pt>
                <c:pt idx="2">
                  <c:v>0.6</c:v>
                </c:pt>
                <c:pt idx="3">
                  <c:v>0.23076923076923078</c:v>
                </c:pt>
                <c:pt idx="4">
                  <c:v>0.2608695652173913</c:v>
                </c:pt>
              </c:numCache>
            </c:numRef>
          </c:val>
          <c:extLst>
            <c:ext xmlns:c16="http://schemas.microsoft.com/office/drawing/2014/chart" uri="{C3380CC4-5D6E-409C-BE32-E72D297353CC}">
              <c16:uniqueId val="{00000000-1DA7-4364-8E40-0E996FDE63B2}"/>
            </c:ext>
          </c:extLst>
        </c:ser>
        <c:dLbls>
          <c:dLblPos val="outEnd"/>
          <c:showLegendKey val="0"/>
          <c:showVal val="1"/>
          <c:showCatName val="0"/>
          <c:showSerName val="0"/>
          <c:showPercent val="0"/>
          <c:showBubbleSize val="0"/>
        </c:dLbls>
        <c:gapWidth val="219"/>
        <c:overlap val="-27"/>
        <c:axId val="213611992"/>
        <c:axId val="213608856"/>
      </c:barChart>
      <c:catAx>
        <c:axId val="213611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3608856"/>
        <c:crosses val="autoZero"/>
        <c:auto val="1"/>
        <c:lblAlgn val="ctr"/>
        <c:lblOffset val="100"/>
        <c:noMultiLvlLbl val="0"/>
      </c:catAx>
      <c:valAx>
        <c:axId val="213608856"/>
        <c:scaling>
          <c:orientation val="minMax"/>
          <c:max val="1"/>
        </c:scaling>
        <c:delete val="1"/>
        <c:axPos val="l"/>
        <c:numFmt formatCode="0.0%" sourceLinked="1"/>
        <c:majorTickMark val="none"/>
        <c:minorTickMark val="none"/>
        <c:tickLblPos val="nextTo"/>
        <c:crossAx val="213611992"/>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'Consolidado por Año'!$B$6:$B$10</c:f>
              <c:numCache>
                <c:formatCode>General</c:formatCode>
                <c:ptCount val="5"/>
                <c:pt idx="0">
                  <c:v>2019</c:v>
                </c:pt>
                <c:pt idx="1">
                  <c:v>2020</c:v>
                </c:pt>
                <c:pt idx="2">
                  <c:v>2021</c:v>
                </c:pt>
                <c:pt idx="3">
                  <c:v>2022</c:v>
                </c:pt>
                <c:pt idx="4">
                  <c:v>2023</c:v>
                </c:pt>
              </c:numCache>
            </c:numRef>
          </c:cat>
          <c:val>
            <c:numRef>
              <c:f>'Consolidado por Año'!$I$6:$I$10</c:f>
              <c:numCache>
                <c:formatCode>0.0%</c:formatCode>
                <c:ptCount val="5"/>
                <c:pt idx="0">
                  <c:v>0.32692307692307693</c:v>
                </c:pt>
                <c:pt idx="1">
                  <c:v>0.2711864406779661</c:v>
                </c:pt>
                <c:pt idx="2">
                  <c:v>0.27536231884057971</c:v>
                </c:pt>
                <c:pt idx="3">
                  <c:v>0.25</c:v>
                </c:pt>
                <c:pt idx="4">
                  <c:v>0</c:v>
                </c:pt>
              </c:numCache>
            </c:numRef>
          </c:val>
          <c:extLst>
            <c:ext xmlns:c16="http://schemas.microsoft.com/office/drawing/2014/chart" uri="{C3380CC4-5D6E-409C-BE32-E72D297353CC}">
              <c16:uniqueId val="{00000000-D311-40A0-BD02-BBE8C2390747}"/>
            </c:ext>
          </c:extLst>
        </c:ser>
        <c:dLbls>
          <c:dLblPos val="outEnd"/>
          <c:showLegendKey val="0"/>
          <c:showVal val="1"/>
          <c:showCatName val="0"/>
          <c:showSerName val="0"/>
          <c:showPercent val="0"/>
          <c:showBubbleSize val="0"/>
        </c:dLbls>
        <c:gapWidth val="219"/>
        <c:overlap val="-27"/>
        <c:axId val="213608072"/>
        <c:axId val="213619048"/>
      </c:barChart>
      <c:catAx>
        <c:axId val="213608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3619048"/>
        <c:crosses val="autoZero"/>
        <c:auto val="1"/>
        <c:lblAlgn val="ctr"/>
        <c:lblOffset val="100"/>
        <c:noMultiLvlLbl val="0"/>
      </c:catAx>
      <c:valAx>
        <c:axId val="213619048"/>
        <c:scaling>
          <c:orientation val="minMax"/>
          <c:max val="1"/>
        </c:scaling>
        <c:delete val="1"/>
        <c:axPos val="l"/>
        <c:numFmt formatCode="0.0%" sourceLinked="1"/>
        <c:majorTickMark val="none"/>
        <c:minorTickMark val="none"/>
        <c:tickLblPos val="nextTo"/>
        <c:crossAx val="213608072"/>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Century Gothic" panose="020B0502020202020204"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'Consolidado por Año'!$B$6:$B$10</c:f>
              <c:numCache>
                <c:formatCode>General</c:formatCode>
                <c:ptCount val="5"/>
                <c:pt idx="0">
                  <c:v>2019</c:v>
                </c:pt>
                <c:pt idx="1">
                  <c:v>2020</c:v>
                </c:pt>
                <c:pt idx="2">
                  <c:v>2021</c:v>
                </c:pt>
                <c:pt idx="3">
                  <c:v>2022</c:v>
                </c:pt>
                <c:pt idx="4">
                  <c:v>2023</c:v>
                </c:pt>
              </c:numCache>
            </c:numRef>
          </c:cat>
          <c:val>
            <c:numRef>
              <c:f>'Consolidado por Año'!$Q$6:$Q$10</c:f>
              <c:numCache>
                <c:formatCode>0.0%</c:formatCode>
                <c:ptCount val="5"/>
                <c:pt idx="0">
                  <c:v>0.13793103448275862</c:v>
                </c:pt>
                <c:pt idx="1">
                  <c:v>0.18556701030927836</c:v>
                </c:pt>
                <c:pt idx="2">
                  <c:v>0.12359550561797752</c:v>
                </c:pt>
                <c:pt idx="3">
                  <c:v>0</c:v>
                </c:pt>
                <c:pt idx="4">
                  <c:v>0</c:v>
                </c:pt>
              </c:numCache>
            </c:numRef>
          </c:val>
          <c:extLst>
            <c:ext xmlns:c16="http://schemas.microsoft.com/office/drawing/2014/chart" uri="{C3380CC4-5D6E-409C-BE32-E72D297353CC}">
              <c16:uniqueId val="{00000000-BA21-4549-950A-A9360A18C893}"/>
            </c:ext>
          </c:extLst>
        </c:ser>
        <c:dLbls>
          <c:dLblPos val="outEnd"/>
          <c:showLegendKey val="0"/>
          <c:showVal val="1"/>
          <c:showCatName val="0"/>
          <c:showSerName val="0"/>
          <c:showPercent val="0"/>
          <c:showBubbleSize val="0"/>
        </c:dLbls>
        <c:gapWidth val="219"/>
        <c:overlap val="-27"/>
        <c:axId val="213607288"/>
        <c:axId val="213610816"/>
      </c:barChart>
      <c:catAx>
        <c:axId val="213607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Century Gothic" panose="020B0502020202020204" pitchFamily="34" charset="0"/>
                <a:ea typeface="+mn-ea"/>
                <a:cs typeface="+mn-cs"/>
              </a:defRPr>
            </a:pPr>
            <a:endParaRPr lang="es-ES"/>
          </a:p>
        </c:txPr>
        <c:crossAx val="213610816"/>
        <c:crosses val="autoZero"/>
        <c:auto val="1"/>
        <c:lblAlgn val="ctr"/>
        <c:lblOffset val="100"/>
        <c:noMultiLvlLbl val="0"/>
      </c:catAx>
      <c:valAx>
        <c:axId val="213610816"/>
        <c:scaling>
          <c:orientation val="minMax"/>
          <c:max val="1"/>
        </c:scaling>
        <c:delete val="1"/>
        <c:axPos val="l"/>
        <c:numFmt formatCode="0.0%" sourceLinked="1"/>
        <c:majorTickMark val="none"/>
        <c:minorTickMark val="none"/>
        <c:tickLblPos val="nextTo"/>
        <c:crossAx val="213607288"/>
        <c:crosses val="autoZero"/>
        <c:crossBetween val="between"/>
      </c:valAx>
      <c:spPr>
        <a:noFill/>
        <a:ln>
          <a:noFill/>
        </a:ln>
        <a:effectLst/>
      </c:spPr>
    </c:plotArea>
    <c:plotVisOnly val="1"/>
    <c:dispBlanksAs val="gap"/>
    <c:showDLblsOverMax val="0"/>
  </c:chart>
  <c:spPr>
    <a:solidFill>
      <a:schemeClr val="bg1"/>
    </a:solidFill>
    <a:ln w="6350" cap="flat" cmpd="sng" algn="ctr">
      <a:solidFill>
        <a:schemeClr val="bg1">
          <a:lumMod val="75000"/>
        </a:schemeClr>
      </a:solidFill>
      <a:round/>
    </a:ln>
    <a:effectLst/>
  </c:spPr>
  <c:txPr>
    <a:bodyPr/>
    <a:lstStyle/>
    <a:p>
      <a:pPr>
        <a:defRPr>
          <a:latin typeface="Century Gothic" panose="020B050202020202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2</xdr:col>
      <xdr:colOff>133350</xdr:colOff>
      <xdr:row>1</xdr:row>
      <xdr:rowOff>38100</xdr:rowOff>
    </xdr:from>
    <xdr:to>
      <xdr:col>15</xdr:col>
      <xdr:colOff>134209</xdr:colOff>
      <xdr:row>29</xdr:row>
      <xdr:rowOff>37842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9375" y="247650"/>
          <a:ext cx="9906859" cy="58099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176891</xdr:colOff>
      <xdr:row>35</xdr:row>
      <xdr:rowOff>149678</xdr:rowOff>
    </xdr:from>
    <xdr:to>
      <xdr:col>26</xdr:col>
      <xdr:colOff>6235</xdr:colOff>
      <xdr:row>73</xdr:row>
      <xdr:rowOff>122460</xdr:rowOff>
    </xdr:to>
    <xdr:grpSp>
      <xdr:nvGrpSpPr>
        <xdr:cNvPr id="2" name="Grupo 1">
          <a:extLst>
            <a:ext uri="{FF2B5EF4-FFF2-40B4-BE49-F238E27FC236}">
              <a16:creationId xmlns:a16="http://schemas.microsoft.com/office/drawing/2014/main" id="{00000000-0008-0000-0A00-0000A0020000}"/>
            </a:ext>
          </a:extLst>
        </xdr:cNvPr>
        <xdr:cNvGrpSpPr/>
      </xdr:nvGrpSpPr>
      <xdr:grpSpPr>
        <a:xfrm>
          <a:off x="244927" y="9565821"/>
          <a:ext cx="11014415" cy="7728853"/>
          <a:chOff x="246155" y="10586356"/>
          <a:chExt cx="11011951" cy="7869872"/>
        </a:xfrm>
      </xdr:grpSpPr>
      <xdr:grpSp>
        <xdr:nvGrpSpPr>
          <xdr:cNvPr id="3" name="Grupo 2">
            <a:extLst>
              <a:ext uri="{FF2B5EF4-FFF2-40B4-BE49-F238E27FC236}">
                <a16:creationId xmlns:a16="http://schemas.microsoft.com/office/drawing/2014/main" id="{00000000-0008-0000-0A00-000060000000}"/>
              </a:ext>
            </a:extLst>
          </xdr:cNvPr>
          <xdr:cNvGrpSpPr/>
        </xdr:nvGrpSpPr>
        <xdr:grpSpPr>
          <a:xfrm>
            <a:off x="246155" y="10586356"/>
            <a:ext cx="10967626" cy="849959"/>
            <a:chOff x="244927" y="10477499"/>
            <a:chExt cx="10970079" cy="834728"/>
          </a:xfrm>
        </xdr:grpSpPr>
        <xdr:sp macro="" textlink="">
          <xdr:nvSpPr>
            <xdr:cNvPr id="233" name="Rectángulo 232">
              <a:extLst>
                <a:ext uri="{FF2B5EF4-FFF2-40B4-BE49-F238E27FC236}">
                  <a16:creationId xmlns:a16="http://schemas.microsoft.com/office/drawing/2014/main" id="{00000000-0008-0000-0A00-000077000000}"/>
                </a:ext>
              </a:extLst>
            </xdr:cNvPr>
            <xdr:cNvSpPr/>
          </xdr:nvSpPr>
          <xdr:spPr>
            <a:xfrm>
              <a:off x="244927" y="10477499"/>
              <a:ext cx="10011600" cy="828000"/>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latin typeface="Century Gothic" panose="020B0502020202020204" pitchFamily="34" charset="0"/>
                </a:rPr>
                <a:t>PROPORCION DE AUDITORÍAS CON ENFOQUE EN RIESGOS CON PLAN DE MEJORA,</a:t>
              </a:r>
              <a:r>
                <a:rPr lang="es-CO" sz="1400" b="1" baseline="0">
                  <a:solidFill>
                    <a:schemeClr val="tx1"/>
                  </a:solidFill>
                  <a:latin typeface="Century Gothic" panose="020B0502020202020204" pitchFamily="34" charset="0"/>
                </a:rPr>
                <a:t> </a:t>
              </a:r>
            </a:p>
            <a:p>
              <a:pPr algn="ctr"/>
              <a:r>
                <a:rPr lang="es-CO" sz="1400" b="1">
                  <a:solidFill>
                    <a:schemeClr val="tx1"/>
                  </a:solidFill>
                  <a:latin typeface="Century Gothic" panose="020B0502020202020204" pitchFamily="34" charset="0"/>
                </a:rPr>
                <a:t>ESE METROSALUD, 2019 - 2023</a:t>
              </a:r>
            </a:p>
          </xdr:txBody>
        </xdr:sp>
        <xdr:grpSp>
          <xdr:nvGrpSpPr>
            <xdr:cNvPr id="234" name="Grupo 233">
              <a:extLst>
                <a:ext uri="{FF2B5EF4-FFF2-40B4-BE49-F238E27FC236}">
                  <a16:creationId xmlns:a16="http://schemas.microsoft.com/office/drawing/2014/main" id="{00000000-0008-0000-0A00-00005F000000}"/>
                </a:ext>
              </a:extLst>
            </xdr:cNvPr>
            <xdr:cNvGrpSpPr/>
          </xdr:nvGrpSpPr>
          <xdr:grpSpPr>
            <a:xfrm>
              <a:off x="10300606" y="10477499"/>
              <a:ext cx="914400" cy="834728"/>
              <a:chOff x="10300606" y="10477499"/>
              <a:chExt cx="914400" cy="834728"/>
            </a:xfrm>
          </xdr:grpSpPr>
          <xdr:sp macro="" textlink="$L$32">
            <xdr:nvSpPr>
              <xdr:cNvPr id="235" name="Rectángulo 234">
                <a:extLst>
                  <a:ext uri="{FF2B5EF4-FFF2-40B4-BE49-F238E27FC236}">
                    <a16:creationId xmlns:a16="http://schemas.microsoft.com/office/drawing/2014/main" id="{00000000-0008-0000-0A00-000076000000}"/>
                  </a:ext>
                </a:extLst>
              </xdr:cNvPr>
              <xdr:cNvSpPr/>
            </xdr:nvSpPr>
            <xdr:spPr>
              <a:xfrm>
                <a:off x="10300606" y="10477499"/>
                <a:ext cx="914400" cy="828000"/>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6ADC6A4-37EC-4CAC-A7BC-2B14B3A1D8A8}" type="TxLink">
                  <a:rPr lang="en-US" sz="1800" b="1" i="0" u="none" strike="noStrike">
                    <a:solidFill>
                      <a:schemeClr val="tx1">
                        <a:lumMod val="95000"/>
                        <a:lumOff val="5000"/>
                      </a:schemeClr>
                    </a:solidFill>
                    <a:latin typeface="Century Gothic"/>
                  </a:rPr>
                  <a:pPr algn="ctr"/>
                  <a:t>47,1%</a:t>
                </a:fld>
                <a:endParaRPr lang="es-CO" sz="3200">
                  <a:solidFill>
                    <a:schemeClr val="tx1">
                      <a:lumMod val="95000"/>
                      <a:lumOff val="5000"/>
                    </a:schemeClr>
                  </a:solidFill>
                </a:endParaRPr>
              </a:p>
            </xdr:txBody>
          </xdr:sp>
          <xdr:grpSp>
            <xdr:nvGrpSpPr>
              <xdr:cNvPr id="236" name="Grupo 235">
                <a:extLst>
                  <a:ext uri="{FF2B5EF4-FFF2-40B4-BE49-F238E27FC236}">
                    <a16:creationId xmlns:a16="http://schemas.microsoft.com/office/drawing/2014/main" id="{00000000-0008-0000-0A00-00000E000000}"/>
                  </a:ext>
                </a:extLst>
              </xdr:cNvPr>
              <xdr:cNvGrpSpPr/>
            </xdr:nvGrpSpPr>
            <xdr:grpSpPr>
              <a:xfrm>
                <a:off x="10366809" y="11031871"/>
                <a:ext cx="770852" cy="280356"/>
                <a:chOff x="10380416" y="11031871"/>
                <a:chExt cx="770852" cy="280356"/>
              </a:xfrm>
            </xdr:grpSpPr>
            <xdr:sp macro="" textlink="$K$32">
              <xdr:nvSpPr>
                <xdr:cNvPr id="237" name="Rectángulo 236">
                  <a:extLst>
                    <a:ext uri="{FF2B5EF4-FFF2-40B4-BE49-F238E27FC236}">
                      <a16:creationId xmlns:a16="http://schemas.microsoft.com/office/drawing/2014/main" id="{00000000-0008-0000-0A00-00000A000000}"/>
                    </a:ext>
                  </a:extLst>
                </xdr:cNvPr>
                <xdr:cNvSpPr/>
              </xdr:nvSpPr>
              <xdr:spPr>
                <a:xfrm>
                  <a:off x="10408548"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3CD5905-36B8-4149-9E82-A286585D49F8}" type="TxLink">
                    <a:rPr lang="en-US" sz="1100" b="1" i="0" u="none" strike="noStrike">
                      <a:solidFill>
                        <a:schemeClr val="tx1">
                          <a:lumMod val="95000"/>
                          <a:lumOff val="5000"/>
                        </a:schemeClr>
                      </a:solidFill>
                      <a:latin typeface="Century Gothic"/>
                    </a:rPr>
                    <a:pPr algn="ctr"/>
                    <a:t>40</a:t>
                  </a:fld>
                  <a:endParaRPr lang="es-CO" sz="1100">
                    <a:solidFill>
                      <a:schemeClr val="tx1">
                        <a:lumMod val="95000"/>
                        <a:lumOff val="5000"/>
                      </a:schemeClr>
                    </a:solidFill>
                  </a:endParaRPr>
                </a:p>
              </xdr:txBody>
            </xdr:sp>
            <xdr:sp macro="" textlink="">
              <xdr:nvSpPr>
                <xdr:cNvPr id="238" name="CuadroTexto 237">
                  <a:extLst>
                    <a:ext uri="{FF2B5EF4-FFF2-40B4-BE49-F238E27FC236}">
                      <a16:creationId xmlns:a16="http://schemas.microsoft.com/office/drawing/2014/main" id="{00000000-0008-0000-0A00-00000B000000}"/>
                    </a:ext>
                  </a:extLst>
                </xdr:cNvPr>
                <xdr:cNvSpPr txBox="1"/>
              </xdr:nvSpPr>
              <xdr:spPr>
                <a:xfrm>
                  <a:off x="10380416" y="1103187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latin typeface="Century Gothic" panose="020B0502020202020204" pitchFamily="34" charset="0"/>
                    </a:rPr>
                    <a:t>(</a:t>
                  </a:r>
                  <a:r>
                    <a:rPr lang="es-CO" sz="1100" baseline="0">
                      <a:latin typeface="Century Gothic" panose="020B0502020202020204" pitchFamily="34" charset="0"/>
                    </a:rPr>
                    <a:t>      /      </a:t>
                  </a:r>
                  <a:r>
                    <a:rPr lang="es-CO" sz="1100">
                      <a:latin typeface="Century Gothic" panose="020B0502020202020204" pitchFamily="34" charset="0"/>
                    </a:rPr>
                    <a:t>)</a:t>
                  </a:r>
                </a:p>
              </xdr:txBody>
            </xdr:sp>
            <xdr:sp macro="" textlink="$J$32">
              <xdr:nvSpPr>
                <xdr:cNvPr id="239" name="Rectángulo 238">
                  <a:extLst>
                    <a:ext uri="{FF2B5EF4-FFF2-40B4-BE49-F238E27FC236}">
                      <a16:creationId xmlns:a16="http://schemas.microsoft.com/office/drawing/2014/main" id="{00000000-0008-0000-0A00-00002A010000}"/>
                    </a:ext>
                  </a:extLst>
                </xdr:cNvPr>
                <xdr:cNvSpPr/>
              </xdr:nvSpPr>
              <xdr:spPr>
                <a:xfrm>
                  <a:off x="10697935"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C9C6B0-CB03-49F6-9FE9-A14FD43C86A1}" type="TxLink">
                    <a:rPr lang="en-US" sz="1100" b="1" i="0" u="none" strike="noStrike">
                      <a:solidFill>
                        <a:srgbClr val="000000"/>
                      </a:solidFill>
                      <a:latin typeface="Century Gothic"/>
                    </a:rPr>
                    <a:pPr algn="ctr"/>
                    <a:t>85</a:t>
                  </a:fld>
                  <a:endParaRPr lang="es-CO" sz="1100">
                    <a:solidFill>
                      <a:schemeClr val="tx1">
                        <a:lumMod val="95000"/>
                        <a:lumOff val="5000"/>
                      </a:schemeClr>
                    </a:solidFill>
                  </a:endParaRPr>
                </a:p>
              </xdr:txBody>
            </xdr:sp>
          </xdr:grpSp>
        </xdr:grpSp>
      </xdr:grpSp>
      <xdr:grpSp>
        <xdr:nvGrpSpPr>
          <xdr:cNvPr id="4" name="Grupo 3">
            <a:extLst>
              <a:ext uri="{FF2B5EF4-FFF2-40B4-BE49-F238E27FC236}">
                <a16:creationId xmlns:a16="http://schemas.microsoft.com/office/drawing/2014/main" id="{00000000-0008-0000-0A00-00009F020000}"/>
              </a:ext>
            </a:extLst>
          </xdr:cNvPr>
          <xdr:cNvGrpSpPr/>
        </xdr:nvGrpSpPr>
        <xdr:grpSpPr>
          <a:xfrm>
            <a:off x="273364" y="11542374"/>
            <a:ext cx="10984742" cy="6913854"/>
            <a:chOff x="273364" y="11542374"/>
            <a:chExt cx="10984742" cy="6913854"/>
          </a:xfrm>
        </xdr:grpSpPr>
        <xdr:sp macro="" textlink="">
          <xdr:nvSpPr>
            <xdr:cNvPr id="5" name="Rectángulo redondeado 4">
              <a:extLst>
                <a:ext uri="{FF2B5EF4-FFF2-40B4-BE49-F238E27FC236}">
                  <a16:creationId xmlns:a16="http://schemas.microsoft.com/office/drawing/2014/main" id="{00000000-0008-0000-0A00-0000B0000000}"/>
                </a:ext>
              </a:extLst>
            </xdr:cNvPr>
            <xdr:cNvSpPr/>
          </xdr:nvSpPr>
          <xdr:spPr>
            <a:xfrm>
              <a:off x="273364" y="11542374"/>
              <a:ext cx="10984742" cy="6913854"/>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 name="Grupo 5">
              <a:extLst>
                <a:ext uri="{FF2B5EF4-FFF2-40B4-BE49-F238E27FC236}">
                  <a16:creationId xmlns:a16="http://schemas.microsoft.com/office/drawing/2014/main" id="{00000000-0008-0000-0A00-00009E020000}"/>
                </a:ext>
              </a:extLst>
            </xdr:cNvPr>
            <xdr:cNvGrpSpPr/>
          </xdr:nvGrpSpPr>
          <xdr:grpSpPr>
            <a:xfrm>
              <a:off x="376735" y="11556241"/>
              <a:ext cx="10849832" cy="6841041"/>
              <a:chOff x="376735" y="11556241"/>
              <a:chExt cx="10849832" cy="6841041"/>
            </a:xfrm>
          </xdr:grpSpPr>
          <xdr:grpSp>
            <xdr:nvGrpSpPr>
              <xdr:cNvPr id="7" name="Grupo 6">
                <a:extLst>
                  <a:ext uri="{FF2B5EF4-FFF2-40B4-BE49-F238E27FC236}">
                    <a16:creationId xmlns:a16="http://schemas.microsoft.com/office/drawing/2014/main" id="{00000000-0008-0000-0A00-00005C000000}"/>
                  </a:ext>
                </a:extLst>
              </xdr:cNvPr>
              <xdr:cNvGrpSpPr/>
            </xdr:nvGrpSpPr>
            <xdr:grpSpPr>
              <a:xfrm>
                <a:off x="384917" y="11556241"/>
                <a:ext cx="10719120" cy="1639731"/>
                <a:chOff x="383720" y="11430000"/>
                <a:chExt cx="10721518" cy="1610348"/>
              </a:xfrm>
            </xdr:grpSpPr>
            <xdr:grpSp>
              <xdr:nvGrpSpPr>
                <xdr:cNvPr id="193" name="Grupo 192">
                  <a:extLst>
                    <a:ext uri="{FF2B5EF4-FFF2-40B4-BE49-F238E27FC236}">
                      <a16:creationId xmlns:a16="http://schemas.microsoft.com/office/drawing/2014/main" id="{00000000-0008-0000-0A00-000048000000}"/>
                    </a:ext>
                  </a:extLst>
                </xdr:cNvPr>
                <xdr:cNvGrpSpPr/>
              </xdr:nvGrpSpPr>
              <xdr:grpSpPr>
                <a:xfrm>
                  <a:off x="383720" y="11430000"/>
                  <a:ext cx="720000" cy="1610348"/>
                  <a:chOff x="27391177" y="8324853"/>
                  <a:chExt cx="720000" cy="1610348"/>
                </a:xfrm>
              </xdr:grpSpPr>
              <xdr:sp macro="" textlink="">
                <xdr:nvSpPr>
                  <xdr:cNvPr id="231" name="Rectángulo 230">
                    <a:extLst>
                      <a:ext uri="{FF2B5EF4-FFF2-40B4-BE49-F238E27FC236}">
                        <a16:creationId xmlns:a16="http://schemas.microsoft.com/office/drawing/2014/main" id="{00000000-0008-0000-0A00-000049000000}"/>
                      </a:ext>
                    </a:extLst>
                  </xdr:cNvPr>
                  <xdr:cNvSpPr/>
                </xdr:nvSpPr>
                <xdr:spPr>
                  <a:xfrm>
                    <a:off x="27391177" y="8450034"/>
                    <a:ext cx="720000"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32" name="CuadroTexto 231">
                    <a:extLst>
                      <a:ext uri="{FF2B5EF4-FFF2-40B4-BE49-F238E27FC236}">
                        <a16:creationId xmlns:a16="http://schemas.microsoft.com/office/drawing/2014/main" id="{00000000-0008-0000-0A00-00004A000000}"/>
                      </a:ext>
                    </a:extLst>
                  </xdr:cNvPr>
                  <xdr:cNvSpPr txBox="1"/>
                </xdr:nvSpPr>
                <xdr:spPr>
                  <a:xfrm rot="16200000">
                    <a:off x="26944324"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sp macro="" textlink="">
              <xdr:nvSpPr>
                <xdr:cNvPr id="194" name="Flecha abajo 193">
                  <a:extLst>
                    <a:ext uri="{FF2B5EF4-FFF2-40B4-BE49-F238E27FC236}">
                      <a16:creationId xmlns:a16="http://schemas.microsoft.com/office/drawing/2014/main" id="{00000000-0008-0000-0A00-00007A000000}"/>
                    </a:ext>
                  </a:extLst>
                </xdr:cNvPr>
                <xdr:cNvSpPr/>
              </xdr:nvSpPr>
              <xdr:spPr>
                <a:xfrm>
                  <a:off x="5788521" y="12722678"/>
                  <a:ext cx="468000" cy="288000"/>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95" name="Grupo 194">
                  <a:extLst>
                    <a:ext uri="{FF2B5EF4-FFF2-40B4-BE49-F238E27FC236}">
                      <a16:creationId xmlns:a16="http://schemas.microsoft.com/office/drawing/2014/main" id="{00000000-0008-0000-0A00-00003D000000}"/>
                    </a:ext>
                  </a:extLst>
                </xdr:cNvPr>
                <xdr:cNvGrpSpPr/>
              </xdr:nvGrpSpPr>
              <xdr:grpSpPr>
                <a:xfrm>
                  <a:off x="1202890" y="11911678"/>
                  <a:ext cx="2672123" cy="720001"/>
                  <a:chOff x="1202890" y="11911678"/>
                  <a:chExt cx="2672123" cy="720001"/>
                </a:xfrm>
              </xdr:grpSpPr>
              <xdr:grpSp>
                <xdr:nvGrpSpPr>
                  <xdr:cNvPr id="223" name="Grupo 222">
                    <a:extLst>
                      <a:ext uri="{FF2B5EF4-FFF2-40B4-BE49-F238E27FC236}">
                        <a16:creationId xmlns:a16="http://schemas.microsoft.com/office/drawing/2014/main" id="{00000000-0008-0000-0A00-000043000000}"/>
                      </a:ext>
                    </a:extLst>
                  </xdr:cNvPr>
                  <xdr:cNvGrpSpPr/>
                </xdr:nvGrpSpPr>
                <xdr:grpSpPr>
                  <a:xfrm>
                    <a:off x="1202890" y="11911678"/>
                    <a:ext cx="2672123" cy="720001"/>
                    <a:chOff x="28670227" y="2081891"/>
                    <a:chExt cx="2474494" cy="585107"/>
                  </a:xfrm>
                </xdr:grpSpPr>
                <xdr:sp macro="" textlink="">
                  <xdr:nvSpPr>
                    <xdr:cNvPr id="228" name="Cheurón 227">
                      <a:extLst>
                        <a:ext uri="{FF2B5EF4-FFF2-40B4-BE49-F238E27FC236}">
                          <a16:creationId xmlns:a16="http://schemas.microsoft.com/office/drawing/2014/main" id="{00000000-0008-0000-0A00-000057000000}"/>
                        </a:ext>
                      </a:extLst>
                    </xdr:cNvPr>
                    <xdr:cNvSpPr/>
                  </xdr:nvSpPr>
                  <xdr:spPr>
                    <a:xfrm>
                      <a:off x="28670227" y="2081891"/>
                      <a:ext cx="2433635"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29" name="CuadroTexto 228">
                      <a:extLst>
                        <a:ext uri="{FF2B5EF4-FFF2-40B4-BE49-F238E27FC236}">
                          <a16:creationId xmlns:a16="http://schemas.microsoft.com/office/drawing/2014/main" id="{00000000-0008-0000-0A00-000058000000}"/>
                        </a:ext>
                      </a:extLst>
                    </xdr:cNvPr>
                    <xdr:cNvSpPr txBox="1"/>
                  </xdr:nvSpPr>
                  <xdr:spPr>
                    <a:xfrm>
                      <a:off x="28854757" y="2207661"/>
                      <a:ext cx="1586874"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sp macro="" textlink="$L$6">
                  <xdr:nvSpPr>
                    <xdr:cNvPr id="230" name="Rectángulo redondeado 229">
                      <a:extLst>
                        <a:ext uri="{FF2B5EF4-FFF2-40B4-BE49-F238E27FC236}">
                          <a16:creationId xmlns:a16="http://schemas.microsoft.com/office/drawing/2014/main" id="{00000000-0008-0000-0A00-000059000000}"/>
                        </a:ext>
                      </a:extLst>
                    </xdr:cNvPr>
                    <xdr:cNvSpPr/>
                  </xdr:nvSpPr>
                  <xdr:spPr>
                    <a:xfrm>
                      <a:off x="30277946"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502EA5-E4AF-4CB0-A60E-29CE20AA7570}" type="TxLink">
                        <a:rPr lang="en-US" sz="1600" b="1" i="0" u="none" strike="noStrike">
                          <a:solidFill>
                            <a:srgbClr val="FFFF00"/>
                          </a:solidFill>
                          <a:latin typeface="Century Gothic"/>
                        </a:rPr>
                        <a:pPr algn="ctr"/>
                        <a:t>100,0%</a:t>
                      </a:fld>
                      <a:endParaRPr lang="es-CO" sz="1600">
                        <a:solidFill>
                          <a:srgbClr val="FFFF00"/>
                        </a:solidFill>
                      </a:endParaRPr>
                    </a:p>
                  </xdr:txBody>
                </xdr:sp>
              </xdr:grpSp>
              <xdr:grpSp>
                <xdr:nvGrpSpPr>
                  <xdr:cNvPr id="224" name="Grupo 223">
                    <a:extLst>
                      <a:ext uri="{FF2B5EF4-FFF2-40B4-BE49-F238E27FC236}">
                        <a16:creationId xmlns:a16="http://schemas.microsoft.com/office/drawing/2014/main" id="{00000000-0008-0000-0A00-00003C000000}"/>
                      </a:ext>
                    </a:extLst>
                  </xdr:cNvPr>
                  <xdr:cNvGrpSpPr/>
                </xdr:nvGrpSpPr>
                <xdr:grpSpPr>
                  <a:xfrm>
                    <a:off x="2947049" y="12351205"/>
                    <a:ext cx="770852" cy="272143"/>
                    <a:chOff x="2947049" y="12351205"/>
                    <a:chExt cx="770852" cy="272143"/>
                  </a:xfrm>
                </xdr:grpSpPr>
                <xdr:sp macro="" textlink="$K$6">
                  <xdr:nvSpPr>
                    <xdr:cNvPr id="225" name="Rectángulo 224">
                      <a:extLst>
                        <a:ext uri="{FF2B5EF4-FFF2-40B4-BE49-F238E27FC236}">
                          <a16:creationId xmlns:a16="http://schemas.microsoft.com/office/drawing/2014/main" id="{00000000-0008-0000-0A00-000035010000}"/>
                        </a:ext>
                      </a:extLst>
                    </xdr:cNvPr>
                    <xdr:cNvSpPr/>
                  </xdr:nvSpPr>
                  <xdr:spPr>
                    <a:xfrm>
                      <a:off x="2982686" y="1235120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658EB88-255B-4CC5-B35A-2C06EECA47DE}"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J$6">
                  <xdr:nvSpPr>
                    <xdr:cNvPr id="226" name="Rectángulo 225">
                      <a:extLst>
                        <a:ext uri="{FF2B5EF4-FFF2-40B4-BE49-F238E27FC236}">
                          <a16:creationId xmlns:a16="http://schemas.microsoft.com/office/drawing/2014/main" id="{00000000-0008-0000-0A00-000037010000}"/>
                        </a:ext>
                      </a:extLst>
                    </xdr:cNvPr>
                    <xdr:cNvSpPr/>
                  </xdr:nvSpPr>
                  <xdr:spPr>
                    <a:xfrm>
                      <a:off x="3267441" y="1235120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AD53F0-5C1B-4311-99A9-A461A0877824}"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
                  <xdr:nvSpPr>
                    <xdr:cNvPr id="227" name="CuadroTexto 226">
                      <a:extLst>
                        <a:ext uri="{FF2B5EF4-FFF2-40B4-BE49-F238E27FC236}">
                          <a16:creationId xmlns:a16="http://schemas.microsoft.com/office/drawing/2014/main" id="{00000000-0008-0000-0A00-0000DA010000}"/>
                        </a:ext>
                      </a:extLst>
                    </xdr:cNvPr>
                    <xdr:cNvSpPr txBox="1"/>
                  </xdr:nvSpPr>
                  <xdr:spPr>
                    <a:xfrm>
                      <a:off x="2947049" y="1235601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96" name="Grupo 195">
                  <a:extLst>
                    <a:ext uri="{FF2B5EF4-FFF2-40B4-BE49-F238E27FC236}">
                      <a16:creationId xmlns:a16="http://schemas.microsoft.com/office/drawing/2014/main" id="{00000000-0008-0000-0A00-00003F000000}"/>
                    </a:ext>
                  </a:extLst>
                </xdr:cNvPr>
                <xdr:cNvGrpSpPr/>
              </xdr:nvGrpSpPr>
              <xdr:grpSpPr>
                <a:xfrm>
                  <a:off x="3627675" y="11900792"/>
                  <a:ext cx="2672103" cy="725279"/>
                  <a:chOff x="3627675" y="11900792"/>
                  <a:chExt cx="2672103" cy="725279"/>
                </a:xfrm>
              </xdr:grpSpPr>
              <xdr:grpSp>
                <xdr:nvGrpSpPr>
                  <xdr:cNvPr id="215" name="Grupo 214">
                    <a:extLst>
                      <a:ext uri="{FF2B5EF4-FFF2-40B4-BE49-F238E27FC236}">
                        <a16:creationId xmlns:a16="http://schemas.microsoft.com/office/drawing/2014/main" id="{00000000-0008-0000-0A00-000069000000}"/>
                      </a:ext>
                    </a:extLst>
                  </xdr:cNvPr>
                  <xdr:cNvGrpSpPr/>
                </xdr:nvGrpSpPr>
                <xdr:grpSpPr>
                  <a:xfrm>
                    <a:off x="3627675" y="11900792"/>
                    <a:ext cx="2672103" cy="720000"/>
                    <a:chOff x="28594637" y="2081892"/>
                    <a:chExt cx="2474477" cy="585107"/>
                  </a:xfrm>
                </xdr:grpSpPr>
                <xdr:sp macro="" textlink="">
                  <xdr:nvSpPr>
                    <xdr:cNvPr id="220" name="Cheurón 219">
                      <a:extLst>
                        <a:ext uri="{FF2B5EF4-FFF2-40B4-BE49-F238E27FC236}">
                          <a16:creationId xmlns:a16="http://schemas.microsoft.com/office/drawing/2014/main" id="{00000000-0008-0000-0A00-00006A00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21" name="CuadroTexto 220">
                      <a:extLst>
                        <a:ext uri="{FF2B5EF4-FFF2-40B4-BE49-F238E27FC236}">
                          <a16:creationId xmlns:a16="http://schemas.microsoft.com/office/drawing/2014/main" id="{00000000-0008-0000-0A00-00006B000000}"/>
                        </a:ext>
                      </a:extLst>
                    </xdr:cNvPr>
                    <xdr:cNvSpPr txBox="1"/>
                  </xdr:nvSpPr>
                  <xdr:spPr>
                    <a:xfrm>
                      <a:off x="2880321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L$7">
                  <xdr:nvSpPr>
                    <xdr:cNvPr id="222" name="Rectángulo redondeado 221">
                      <a:extLst>
                        <a:ext uri="{FF2B5EF4-FFF2-40B4-BE49-F238E27FC236}">
                          <a16:creationId xmlns:a16="http://schemas.microsoft.com/office/drawing/2014/main" id="{00000000-0008-0000-0A00-00006C000000}"/>
                        </a:ext>
                      </a:extLst>
                    </xdr:cNvPr>
                    <xdr:cNvSpPr/>
                  </xdr:nvSpPr>
                  <xdr:spPr>
                    <a:xfrm>
                      <a:off x="3020233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2695697-7DC0-48CB-B073-27C4A0513A45}" type="TxLink">
                        <a:rPr lang="en-US" sz="1600" b="1" i="0" u="none" strike="noStrike">
                          <a:solidFill>
                            <a:srgbClr val="FFFF00"/>
                          </a:solidFill>
                          <a:latin typeface="Century Gothic"/>
                        </a:rPr>
                        <a:pPr algn="ctr"/>
                        <a:t>100,0%</a:t>
                      </a:fld>
                      <a:endParaRPr lang="es-CO" sz="1600">
                        <a:solidFill>
                          <a:srgbClr val="FFFF00"/>
                        </a:solidFill>
                      </a:endParaRPr>
                    </a:p>
                  </xdr:txBody>
                </xdr:sp>
              </xdr:grpSp>
              <xdr:grpSp>
                <xdr:nvGrpSpPr>
                  <xdr:cNvPr id="216" name="Grupo 215">
                    <a:extLst>
                      <a:ext uri="{FF2B5EF4-FFF2-40B4-BE49-F238E27FC236}">
                        <a16:creationId xmlns:a16="http://schemas.microsoft.com/office/drawing/2014/main" id="{00000000-0008-0000-0A00-00003E000000}"/>
                      </a:ext>
                    </a:extLst>
                  </xdr:cNvPr>
                  <xdr:cNvGrpSpPr/>
                </xdr:nvGrpSpPr>
                <xdr:grpSpPr>
                  <a:xfrm>
                    <a:off x="5369119" y="12347503"/>
                    <a:ext cx="770852" cy="278568"/>
                    <a:chOff x="5409940" y="12347503"/>
                    <a:chExt cx="770852" cy="278568"/>
                  </a:xfrm>
                </xdr:grpSpPr>
                <xdr:sp macro="" textlink="$K$7">
                  <xdr:nvSpPr>
                    <xdr:cNvPr id="217" name="Rectángulo 216">
                      <a:extLst>
                        <a:ext uri="{FF2B5EF4-FFF2-40B4-BE49-F238E27FC236}">
                          <a16:creationId xmlns:a16="http://schemas.microsoft.com/office/drawing/2014/main" id="{00000000-0008-0000-0A00-000038010000}"/>
                        </a:ext>
                      </a:extLst>
                    </xdr:cNvPr>
                    <xdr:cNvSpPr/>
                  </xdr:nvSpPr>
                  <xdr:spPr>
                    <a:xfrm>
                      <a:off x="5434691" y="12353928"/>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5AE61E-9B7C-44F4-AC25-B0CB2E4D8EFD}"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J$7">
                  <xdr:nvSpPr>
                    <xdr:cNvPr id="218" name="Rectángulo 217">
                      <a:extLst>
                        <a:ext uri="{FF2B5EF4-FFF2-40B4-BE49-F238E27FC236}">
                          <a16:creationId xmlns:a16="http://schemas.microsoft.com/office/drawing/2014/main" id="{00000000-0008-0000-0A00-000039010000}"/>
                        </a:ext>
                      </a:extLst>
                    </xdr:cNvPr>
                    <xdr:cNvSpPr/>
                  </xdr:nvSpPr>
                  <xdr:spPr>
                    <a:xfrm>
                      <a:off x="5710786" y="12353928"/>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3B32E77-7B42-450D-929C-4C548F89F3AF}"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
                  <xdr:nvSpPr>
                    <xdr:cNvPr id="219" name="CuadroTexto 218">
                      <a:extLst>
                        <a:ext uri="{FF2B5EF4-FFF2-40B4-BE49-F238E27FC236}">
                          <a16:creationId xmlns:a16="http://schemas.microsoft.com/office/drawing/2014/main" id="{00000000-0008-0000-0A00-0000DB010000}"/>
                        </a:ext>
                      </a:extLst>
                    </xdr:cNvPr>
                    <xdr:cNvSpPr txBox="1"/>
                  </xdr:nvSpPr>
                  <xdr:spPr>
                    <a:xfrm>
                      <a:off x="5409940" y="1234750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97" name="Grupo 196">
                  <a:extLst>
                    <a:ext uri="{FF2B5EF4-FFF2-40B4-BE49-F238E27FC236}">
                      <a16:creationId xmlns:a16="http://schemas.microsoft.com/office/drawing/2014/main" id="{00000000-0008-0000-0A00-0000E1010000}"/>
                    </a:ext>
                  </a:extLst>
                </xdr:cNvPr>
                <xdr:cNvGrpSpPr/>
              </xdr:nvGrpSpPr>
              <xdr:grpSpPr>
                <a:xfrm>
                  <a:off x="6052435" y="11903514"/>
                  <a:ext cx="2628000" cy="720000"/>
                  <a:chOff x="6052435" y="11903514"/>
                  <a:chExt cx="2628000" cy="720000"/>
                </a:xfrm>
              </xdr:grpSpPr>
              <xdr:grpSp>
                <xdr:nvGrpSpPr>
                  <xdr:cNvPr id="207" name="Grupo 206">
                    <a:extLst>
                      <a:ext uri="{FF2B5EF4-FFF2-40B4-BE49-F238E27FC236}">
                        <a16:creationId xmlns:a16="http://schemas.microsoft.com/office/drawing/2014/main" id="{00000000-0008-0000-0A00-00006D000000}"/>
                      </a:ext>
                    </a:extLst>
                  </xdr:cNvPr>
                  <xdr:cNvGrpSpPr/>
                </xdr:nvGrpSpPr>
                <xdr:grpSpPr>
                  <a:xfrm>
                    <a:off x="6052435" y="11903514"/>
                    <a:ext cx="2628000" cy="720000"/>
                    <a:chOff x="28531632" y="2081892"/>
                    <a:chExt cx="2433638" cy="585107"/>
                  </a:xfrm>
                </xdr:grpSpPr>
                <xdr:sp macro="" textlink="">
                  <xdr:nvSpPr>
                    <xdr:cNvPr id="212" name="Cheurón 211">
                      <a:extLst>
                        <a:ext uri="{FF2B5EF4-FFF2-40B4-BE49-F238E27FC236}">
                          <a16:creationId xmlns:a16="http://schemas.microsoft.com/office/drawing/2014/main" id="{00000000-0008-0000-0A00-00006E00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13" name="CuadroTexto 212">
                      <a:extLst>
                        <a:ext uri="{FF2B5EF4-FFF2-40B4-BE49-F238E27FC236}">
                          <a16:creationId xmlns:a16="http://schemas.microsoft.com/office/drawing/2014/main" id="{00000000-0008-0000-0A00-00006F000000}"/>
                        </a:ext>
                      </a:extLst>
                    </xdr:cNvPr>
                    <xdr:cNvSpPr txBox="1"/>
                  </xdr:nvSpPr>
                  <xdr:spPr>
                    <a:xfrm>
                      <a:off x="28768454" y="2130485"/>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L$8">
                  <xdr:nvSpPr>
                    <xdr:cNvPr id="214" name="Rectángulo redondeado 213">
                      <a:extLst>
                        <a:ext uri="{FF2B5EF4-FFF2-40B4-BE49-F238E27FC236}">
                          <a16:creationId xmlns:a16="http://schemas.microsoft.com/office/drawing/2014/main" id="{00000000-0008-0000-0A00-000070000000}"/>
                        </a:ext>
                      </a:extLst>
                    </xdr:cNvPr>
                    <xdr:cNvSpPr/>
                  </xdr:nvSpPr>
                  <xdr:spPr>
                    <a:xfrm>
                      <a:off x="300889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A5B2EA-87E8-4E20-81DA-B3056D10412D}" type="TxLink">
                        <a:rPr lang="en-US" sz="1600" b="1" i="0" u="none" strike="noStrike">
                          <a:solidFill>
                            <a:srgbClr val="FFFF00"/>
                          </a:solidFill>
                          <a:latin typeface="Century Gothic"/>
                        </a:rPr>
                        <a:pPr algn="ctr"/>
                        <a:t>-</a:t>
                      </a:fld>
                      <a:endParaRPr lang="es-CO" sz="2800">
                        <a:solidFill>
                          <a:srgbClr val="FFFF00"/>
                        </a:solidFill>
                      </a:endParaRPr>
                    </a:p>
                  </xdr:txBody>
                </xdr:sp>
              </xdr:grpSp>
              <xdr:grpSp>
                <xdr:nvGrpSpPr>
                  <xdr:cNvPr id="208" name="Grupo 207">
                    <a:extLst>
                      <a:ext uri="{FF2B5EF4-FFF2-40B4-BE49-F238E27FC236}">
                        <a16:creationId xmlns:a16="http://schemas.microsoft.com/office/drawing/2014/main" id="{00000000-0008-0000-0A00-0000DD010000}"/>
                      </a:ext>
                    </a:extLst>
                  </xdr:cNvPr>
                  <xdr:cNvGrpSpPr/>
                </xdr:nvGrpSpPr>
                <xdr:grpSpPr>
                  <a:xfrm>
                    <a:off x="7791188" y="12335604"/>
                    <a:ext cx="770852" cy="279583"/>
                    <a:chOff x="7845616" y="12335604"/>
                    <a:chExt cx="770852" cy="279583"/>
                  </a:xfrm>
                </xdr:grpSpPr>
                <xdr:sp macro="" textlink="$K$8">
                  <xdr:nvSpPr>
                    <xdr:cNvPr id="209" name="Rectángulo 208">
                      <a:extLst>
                        <a:ext uri="{FF2B5EF4-FFF2-40B4-BE49-F238E27FC236}">
                          <a16:creationId xmlns:a16="http://schemas.microsoft.com/office/drawing/2014/main" id="{00000000-0008-0000-0A00-00003A010000}"/>
                        </a:ext>
                      </a:extLst>
                    </xdr:cNvPr>
                    <xdr:cNvSpPr/>
                  </xdr:nvSpPr>
                  <xdr:spPr>
                    <a:xfrm>
                      <a:off x="7873089"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83F2B96-C05A-4E6C-B17F-E01FC9DBB9BF}" type="TxLink">
                        <a:rPr lang="en-US" sz="1100" b="1" i="0" u="none" strike="noStrike">
                          <a:solidFill>
                            <a:srgbClr val="FFFF00"/>
                          </a:solidFill>
                          <a:latin typeface="Century Gothic"/>
                        </a:rPr>
                        <a:pPr algn="ctr"/>
                        <a:t>-</a:t>
                      </a:fld>
                      <a:endParaRPr lang="es-CO" sz="1200" b="1">
                        <a:solidFill>
                          <a:srgbClr val="FFFF00"/>
                        </a:solidFill>
                      </a:endParaRPr>
                    </a:p>
                  </xdr:txBody>
                </xdr:sp>
                <xdr:sp macro="" textlink="$J$8">
                  <xdr:nvSpPr>
                    <xdr:cNvPr id="210" name="Rectángulo 209">
                      <a:extLst>
                        <a:ext uri="{FF2B5EF4-FFF2-40B4-BE49-F238E27FC236}">
                          <a16:creationId xmlns:a16="http://schemas.microsoft.com/office/drawing/2014/main" id="{00000000-0008-0000-0A00-00003B010000}"/>
                        </a:ext>
                      </a:extLst>
                    </xdr:cNvPr>
                    <xdr:cNvSpPr/>
                  </xdr:nvSpPr>
                  <xdr:spPr>
                    <a:xfrm>
                      <a:off x="8149183"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7B128C7-AC54-4856-B656-7A4FE6FB05D4}" type="TxLink">
                        <a:rPr lang="en-US" sz="1100" b="1" i="0" u="none" strike="noStrike">
                          <a:solidFill>
                            <a:srgbClr val="FFFF00"/>
                          </a:solidFill>
                          <a:latin typeface="Century Gothic"/>
                        </a:rPr>
                        <a:pPr algn="ctr"/>
                        <a:t>0</a:t>
                      </a:fld>
                      <a:endParaRPr lang="es-CO" sz="1200" b="1">
                        <a:solidFill>
                          <a:srgbClr val="FFFF00"/>
                        </a:solidFill>
                      </a:endParaRPr>
                    </a:p>
                  </xdr:txBody>
                </xdr:sp>
                <xdr:sp macro="" textlink="">
                  <xdr:nvSpPr>
                    <xdr:cNvPr id="211" name="CuadroTexto 210">
                      <a:extLst>
                        <a:ext uri="{FF2B5EF4-FFF2-40B4-BE49-F238E27FC236}">
                          <a16:creationId xmlns:a16="http://schemas.microsoft.com/office/drawing/2014/main" id="{00000000-0008-0000-0A00-0000DC010000}"/>
                        </a:ext>
                      </a:extLst>
                    </xdr:cNvPr>
                    <xdr:cNvSpPr txBox="1"/>
                  </xdr:nvSpPr>
                  <xdr:spPr>
                    <a:xfrm>
                      <a:off x="7845616" y="1233560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98" name="Grupo 197">
                  <a:extLst>
                    <a:ext uri="{FF2B5EF4-FFF2-40B4-BE49-F238E27FC236}">
                      <a16:creationId xmlns:a16="http://schemas.microsoft.com/office/drawing/2014/main" id="{00000000-0008-0000-0A00-0000E0010000}"/>
                    </a:ext>
                  </a:extLst>
                </xdr:cNvPr>
                <xdr:cNvGrpSpPr/>
              </xdr:nvGrpSpPr>
              <xdr:grpSpPr>
                <a:xfrm>
                  <a:off x="8477237" y="11906236"/>
                  <a:ext cx="2628001" cy="720000"/>
                  <a:chOff x="8477237" y="11906236"/>
                  <a:chExt cx="2628001" cy="720000"/>
                </a:xfrm>
              </xdr:grpSpPr>
              <xdr:grpSp>
                <xdr:nvGrpSpPr>
                  <xdr:cNvPr id="199" name="Grupo 198">
                    <a:extLst>
                      <a:ext uri="{FF2B5EF4-FFF2-40B4-BE49-F238E27FC236}">
                        <a16:creationId xmlns:a16="http://schemas.microsoft.com/office/drawing/2014/main" id="{00000000-0008-0000-0A00-000071000000}"/>
                      </a:ext>
                    </a:extLst>
                  </xdr:cNvPr>
                  <xdr:cNvGrpSpPr/>
                </xdr:nvGrpSpPr>
                <xdr:grpSpPr>
                  <a:xfrm>
                    <a:off x="8477237" y="11906236"/>
                    <a:ext cx="2628001" cy="720000"/>
                    <a:chOff x="28468627" y="2081892"/>
                    <a:chExt cx="2433638" cy="585107"/>
                  </a:xfrm>
                </xdr:grpSpPr>
                <xdr:sp macro="" textlink="">
                  <xdr:nvSpPr>
                    <xdr:cNvPr id="204" name="Cheurón 203">
                      <a:extLst>
                        <a:ext uri="{FF2B5EF4-FFF2-40B4-BE49-F238E27FC236}">
                          <a16:creationId xmlns:a16="http://schemas.microsoft.com/office/drawing/2014/main" id="{00000000-0008-0000-0A00-00007200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5" name="CuadroTexto 204">
                      <a:extLst>
                        <a:ext uri="{FF2B5EF4-FFF2-40B4-BE49-F238E27FC236}">
                          <a16:creationId xmlns:a16="http://schemas.microsoft.com/office/drawing/2014/main" id="{00000000-0008-0000-0A00-000073000000}"/>
                        </a:ext>
                      </a:extLst>
                    </xdr:cNvPr>
                    <xdr:cNvSpPr txBox="1"/>
                  </xdr:nvSpPr>
                  <xdr:spPr>
                    <a:xfrm>
                      <a:off x="28773454"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L$9">
                  <xdr:nvSpPr>
                    <xdr:cNvPr id="206" name="Rectángulo redondeado 205">
                      <a:extLst>
                        <a:ext uri="{FF2B5EF4-FFF2-40B4-BE49-F238E27FC236}">
                          <a16:creationId xmlns:a16="http://schemas.microsoft.com/office/drawing/2014/main" id="{00000000-0008-0000-0A00-000074000000}"/>
                        </a:ext>
                      </a:extLst>
                    </xdr:cNvPr>
                    <xdr:cNvSpPr/>
                  </xdr:nvSpPr>
                  <xdr:spPr>
                    <a:xfrm>
                      <a:off x="29988128" y="2157577"/>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B943DD-91BC-46EC-BB55-D1CE6444C32F}" type="TxLink">
                        <a:rPr lang="en-US" sz="1600" b="1" i="0" u="none" strike="noStrike">
                          <a:solidFill>
                            <a:srgbClr val="FFFF00"/>
                          </a:solidFill>
                          <a:latin typeface="Century Gothic"/>
                        </a:rPr>
                        <a:pPr algn="ctr"/>
                        <a:t>33,3%</a:t>
                      </a:fld>
                      <a:endParaRPr lang="es-CO" sz="1600">
                        <a:solidFill>
                          <a:srgbClr val="FFFF00"/>
                        </a:solidFill>
                      </a:endParaRPr>
                    </a:p>
                  </xdr:txBody>
                </xdr:sp>
              </xdr:grpSp>
              <xdr:grpSp>
                <xdr:nvGrpSpPr>
                  <xdr:cNvPr id="200" name="Grupo 199">
                    <a:extLst>
                      <a:ext uri="{FF2B5EF4-FFF2-40B4-BE49-F238E27FC236}">
                        <a16:creationId xmlns:a16="http://schemas.microsoft.com/office/drawing/2014/main" id="{00000000-0008-0000-0A00-0000DF010000}"/>
                      </a:ext>
                    </a:extLst>
                  </xdr:cNvPr>
                  <xdr:cNvGrpSpPr/>
                </xdr:nvGrpSpPr>
                <xdr:grpSpPr>
                  <a:xfrm>
                    <a:off x="10122954" y="12339010"/>
                    <a:ext cx="770852" cy="278900"/>
                    <a:chOff x="10109347" y="12339010"/>
                    <a:chExt cx="770852" cy="278900"/>
                  </a:xfrm>
                </xdr:grpSpPr>
                <xdr:sp macro="" textlink="$K$9">
                  <xdr:nvSpPr>
                    <xdr:cNvPr id="201" name="Rectángulo 200">
                      <a:extLst>
                        <a:ext uri="{FF2B5EF4-FFF2-40B4-BE49-F238E27FC236}">
                          <a16:creationId xmlns:a16="http://schemas.microsoft.com/office/drawing/2014/main" id="{00000000-0008-0000-0A00-00003C010000}"/>
                        </a:ext>
                      </a:extLst>
                    </xdr:cNvPr>
                    <xdr:cNvSpPr/>
                  </xdr:nvSpPr>
                  <xdr:spPr>
                    <a:xfrm>
                      <a:off x="10148201"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40F130-7769-4A21-B4F9-89B48C51AC34}" type="TxLink">
                        <a:rPr lang="en-US" sz="1100" b="1" i="0" u="none" strike="noStrike">
                          <a:solidFill>
                            <a:srgbClr val="FFFF00"/>
                          </a:solidFill>
                          <a:latin typeface="Century Gothic"/>
                        </a:rPr>
                        <a:pPr algn="ctr"/>
                        <a:t>2</a:t>
                      </a:fld>
                      <a:endParaRPr lang="es-CO" sz="1400" b="1">
                        <a:solidFill>
                          <a:srgbClr val="FFFF00"/>
                        </a:solidFill>
                      </a:endParaRPr>
                    </a:p>
                  </xdr:txBody>
                </xdr:sp>
                <xdr:sp macro="" textlink="$J$9">
                  <xdr:nvSpPr>
                    <xdr:cNvPr id="202" name="Rectángulo 201">
                      <a:extLst>
                        <a:ext uri="{FF2B5EF4-FFF2-40B4-BE49-F238E27FC236}">
                          <a16:creationId xmlns:a16="http://schemas.microsoft.com/office/drawing/2014/main" id="{00000000-0008-0000-0A00-00003D010000}"/>
                        </a:ext>
                      </a:extLst>
                    </xdr:cNvPr>
                    <xdr:cNvSpPr/>
                  </xdr:nvSpPr>
                  <xdr:spPr>
                    <a:xfrm>
                      <a:off x="10424295"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2712BF-91B0-4BF1-BDA4-BB50B582F37C}" type="TxLink">
                        <a:rPr lang="en-US" sz="1100" b="1" i="0" u="none" strike="noStrike">
                          <a:solidFill>
                            <a:srgbClr val="FFFF00"/>
                          </a:solidFill>
                          <a:latin typeface="Century Gothic"/>
                        </a:rPr>
                        <a:pPr algn="ctr"/>
                        <a:t>6</a:t>
                      </a:fld>
                      <a:endParaRPr lang="es-CO" sz="1400" b="1">
                        <a:solidFill>
                          <a:srgbClr val="FFFF00"/>
                        </a:solidFill>
                      </a:endParaRPr>
                    </a:p>
                  </xdr:txBody>
                </xdr:sp>
                <xdr:sp macro="" textlink="">
                  <xdr:nvSpPr>
                    <xdr:cNvPr id="203" name="CuadroTexto 202">
                      <a:extLst>
                        <a:ext uri="{FF2B5EF4-FFF2-40B4-BE49-F238E27FC236}">
                          <a16:creationId xmlns:a16="http://schemas.microsoft.com/office/drawing/2014/main" id="{00000000-0008-0000-0A00-0000DE010000}"/>
                        </a:ext>
                      </a:extLst>
                    </xdr:cNvPr>
                    <xdr:cNvSpPr txBox="1"/>
                  </xdr:nvSpPr>
                  <xdr:spPr>
                    <a:xfrm>
                      <a:off x="10109347" y="12339010"/>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8" name="Grupo 7">
                <a:extLst>
                  <a:ext uri="{FF2B5EF4-FFF2-40B4-BE49-F238E27FC236}">
                    <a16:creationId xmlns:a16="http://schemas.microsoft.com/office/drawing/2014/main" id="{00000000-0008-0000-0A00-00005B000000}"/>
                  </a:ext>
                </a:extLst>
              </xdr:cNvPr>
              <xdr:cNvGrpSpPr/>
            </xdr:nvGrpSpPr>
            <xdr:grpSpPr>
              <a:xfrm>
                <a:off x="382195" y="13257662"/>
                <a:ext cx="10776885" cy="1542369"/>
                <a:chOff x="380997" y="13100930"/>
                <a:chExt cx="10779296" cy="1514730"/>
              </a:xfrm>
            </xdr:grpSpPr>
            <xdr:grpSp>
              <xdr:nvGrpSpPr>
                <xdr:cNvPr id="100" name="Grupo 99">
                  <a:extLst>
                    <a:ext uri="{FF2B5EF4-FFF2-40B4-BE49-F238E27FC236}">
                      <a16:creationId xmlns:a16="http://schemas.microsoft.com/office/drawing/2014/main" id="{00000000-0008-0000-0A00-00003B000000}"/>
                    </a:ext>
                  </a:extLst>
                </xdr:cNvPr>
                <xdr:cNvGrpSpPr/>
              </xdr:nvGrpSpPr>
              <xdr:grpSpPr>
                <a:xfrm>
                  <a:off x="380997" y="13103660"/>
                  <a:ext cx="720000" cy="1512000"/>
                  <a:chOff x="27391177" y="8354785"/>
                  <a:chExt cx="720000" cy="1512000"/>
                </a:xfrm>
              </xdr:grpSpPr>
              <xdr:sp macro="" textlink="">
                <xdr:nvSpPr>
                  <xdr:cNvPr id="191" name="Rectángulo 190">
                    <a:extLst>
                      <a:ext uri="{FF2B5EF4-FFF2-40B4-BE49-F238E27FC236}">
                        <a16:creationId xmlns:a16="http://schemas.microsoft.com/office/drawing/2014/main" id="{00000000-0008-0000-0A00-000039000000}"/>
                      </a:ext>
                    </a:extLst>
                  </xdr:cNvPr>
                  <xdr:cNvSpPr/>
                </xdr:nvSpPr>
                <xdr:spPr>
                  <a:xfrm>
                    <a:off x="27391177" y="8354785"/>
                    <a:ext cx="72000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92" name="CuadroTexto 191">
                    <a:extLst>
                      <a:ext uri="{FF2B5EF4-FFF2-40B4-BE49-F238E27FC236}">
                        <a16:creationId xmlns:a16="http://schemas.microsoft.com/office/drawing/2014/main" id="{00000000-0008-0000-0A00-00003A000000}"/>
                      </a:ext>
                    </a:extLst>
                  </xdr:cNvPr>
                  <xdr:cNvSpPr txBox="1"/>
                </xdr:nvSpPr>
                <xdr:spPr>
                  <a:xfrm rot="16200000">
                    <a:off x="27132645"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101" name="Grupo 100">
                  <a:extLst>
                    <a:ext uri="{FF2B5EF4-FFF2-40B4-BE49-F238E27FC236}">
                      <a16:creationId xmlns:a16="http://schemas.microsoft.com/office/drawing/2014/main" id="{00000000-0008-0000-0A00-0000E7010000}"/>
                    </a:ext>
                  </a:extLst>
                </xdr:cNvPr>
                <xdr:cNvGrpSpPr/>
              </xdr:nvGrpSpPr>
              <xdr:grpSpPr>
                <a:xfrm>
                  <a:off x="1197505" y="13103645"/>
                  <a:ext cx="2160005" cy="728022"/>
                  <a:chOff x="1197505" y="13103645"/>
                  <a:chExt cx="2160005" cy="728022"/>
                </a:xfrm>
              </xdr:grpSpPr>
              <xdr:grpSp>
                <xdr:nvGrpSpPr>
                  <xdr:cNvPr id="183" name="Grupo 182">
                    <a:extLst>
                      <a:ext uri="{FF2B5EF4-FFF2-40B4-BE49-F238E27FC236}">
                        <a16:creationId xmlns:a16="http://schemas.microsoft.com/office/drawing/2014/main" id="{00000000-0008-0000-0A00-000014000000}"/>
                      </a:ext>
                    </a:extLst>
                  </xdr:cNvPr>
                  <xdr:cNvGrpSpPr/>
                </xdr:nvGrpSpPr>
                <xdr:grpSpPr>
                  <a:xfrm>
                    <a:off x="1197505" y="13103645"/>
                    <a:ext cx="2160005" cy="720000"/>
                    <a:chOff x="28670251" y="2081892"/>
                    <a:chExt cx="2000250" cy="585107"/>
                  </a:xfrm>
                </xdr:grpSpPr>
                <xdr:sp macro="" textlink="">
                  <xdr:nvSpPr>
                    <xdr:cNvPr id="188" name="Cheurón 187">
                      <a:extLst>
                        <a:ext uri="{FF2B5EF4-FFF2-40B4-BE49-F238E27FC236}">
                          <a16:creationId xmlns:a16="http://schemas.microsoft.com/office/drawing/2014/main" id="{00000000-0008-0000-0A00-000010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9" name="CuadroTexto 188">
                      <a:extLst>
                        <a:ext uri="{FF2B5EF4-FFF2-40B4-BE49-F238E27FC236}">
                          <a16:creationId xmlns:a16="http://schemas.microsoft.com/office/drawing/2014/main" id="{00000000-0008-0000-0A00-000011000000}"/>
                        </a:ext>
                      </a:extLst>
                    </xdr:cNvPr>
                    <xdr:cNvSpPr txBox="1"/>
                  </xdr:nvSpPr>
                  <xdr:spPr>
                    <a:xfrm>
                      <a:off x="28846736" y="2166613"/>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L$10">
                  <xdr:nvSpPr>
                    <xdr:cNvPr id="190" name="Rectángulo redondeado 189">
                      <a:extLst>
                        <a:ext uri="{FF2B5EF4-FFF2-40B4-BE49-F238E27FC236}">
                          <a16:creationId xmlns:a16="http://schemas.microsoft.com/office/drawing/2014/main" id="{00000000-0008-0000-0A00-000012000000}"/>
                        </a:ext>
                      </a:extLst>
                    </xdr:cNvPr>
                    <xdr:cNvSpPr/>
                  </xdr:nvSpPr>
                  <xdr:spPr>
                    <a:xfrm>
                      <a:off x="297991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0D7B4A-6D6C-480C-B955-CDABAA9BC226}" type="TxLink">
                        <a:rPr lang="en-US" sz="1600" b="1" i="0" u="none" strike="noStrike">
                          <a:solidFill>
                            <a:srgbClr val="FFFF00"/>
                          </a:solidFill>
                          <a:latin typeface="Century Gothic"/>
                        </a:rPr>
                        <a:pPr algn="ctr"/>
                        <a:t>66,7%</a:t>
                      </a:fld>
                      <a:endParaRPr lang="es-CO" sz="1600">
                        <a:solidFill>
                          <a:srgbClr val="FFFF00"/>
                        </a:solidFill>
                      </a:endParaRPr>
                    </a:p>
                  </xdr:txBody>
                </xdr:sp>
              </xdr:grpSp>
              <xdr:grpSp>
                <xdr:nvGrpSpPr>
                  <xdr:cNvPr id="184" name="Grupo 183">
                    <a:extLst>
                      <a:ext uri="{FF2B5EF4-FFF2-40B4-BE49-F238E27FC236}">
                        <a16:creationId xmlns:a16="http://schemas.microsoft.com/office/drawing/2014/main" id="{00000000-0008-0000-0A00-0000E3010000}"/>
                      </a:ext>
                    </a:extLst>
                  </xdr:cNvPr>
                  <xdr:cNvGrpSpPr/>
                </xdr:nvGrpSpPr>
                <xdr:grpSpPr>
                  <a:xfrm>
                    <a:off x="2429979" y="13550046"/>
                    <a:ext cx="770852" cy="281621"/>
                    <a:chOff x="2429979" y="13550046"/>
                    <a:chExt cx="770852" cy="281621"/>
                  </a:xfrm>
                </xdr:grpSpPr>
                <xdr:sp macro="" textlink="$K$10">
                  <xdr:nvSpPr>
                    <xdr:cNvPr id="185" name="Rectángulo 184">
                      <a:extLst>
                        <a:ext uri="{FF2B5EF4-FFF2-40B4-BE49-F238E27FC236}">
                          <a16:creationId xmlns:a16="http://schemas.microsoft.com/office/drawing/2014/main" id="{00000000-0008-0000-0A00-00003E010000}"/>
                        </a:ext>
                      </a:extLst>
                    </xdr:cNvPr>
                    <xdr:cNvSpPr/>
                  </xdr:nvSpPr>
                  <xdr:spPr>
                    <a:xfrm>
                      <a:off x="2462887"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3696C5-91FD-4FF2-B112-A0D81278964D}" type="TxLink">
                        <a:rPr lang="en-US" sz="1100" b="1" i="0" u="none" strike="noStrike">
                          <a:solidFill>
                            <a:srgbClr val="FFFF00"/>
                          </a:solidFill>
                          <a:latin typeface="Century Gothic"/>
                        </a:rPr>
                        <a:pPr algn="ctr"/>
                        <a:t>2</a:t>
                      </a:fld>
                      <a:endParaRPr lang="es-CO" sz="1600" b="1">
                        <a:solidFill>
                          <a:srgbClr val="FFFF00"/>
                        </a:solidFill>
                      </a:endParaRPr>
                    </a:p>
                  </xdr:txBody>
                </xdr:sp>
                <xdr:sp macro="" textlink="$J$10">
                  <xdr:nvSpPr>
                    <xdr:cNvPr id="186" name="Rectángulo 185">
                      <a:extLst>
                        <a:ext uri="{FF2B5EF4-FFF2-40B4-BE49-F238E27FC236}">
                          <a16:creationId xmlns:a16="http://schemas.microsoft.com/office/drawing/2014/main" id="{00000000-0008-0000-0A00-00003F010000}"/>
                        </a:ext>
                      </a:extLst>
                    </xdr:cNvPr>
                    <xdr:cNvSpPr/>
                  </xdr:nvSpPr>
                  <xdr:spPr>
                    <a:xfrm>
                      <a:off x="2738981"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9E9F63B-5A21-4F05-97D9-82240AD55A9B}" type="TxLink">
                        <a:rPr lang="en-US" sz="1100" b="1" i="0" u="none" strike="noStrike">
                          <a:solidFill>
                            <a:srgbClr val="FFFF00"/>
                          </a:solidFill>
                          <a:latin typeface="Century Gothic"/>
                        </a:rPr>
                        <a:pPr algn="ctr"/>
                        <a:t>3</a:t>
                      </a:fld>
                      <a:endParaRPr lang="es-CO" sz="1600" b="1">
                        <a:solidFill>
                          <a:srgbClr val="FFFF00"/>
                        </a:solidFill>
                      </a:endParaRPr>
                    </a:p>
                  </xdr:txBody>
                </xdr:sp>
                <xdr:sp macro="" textlink="">
                  <xdr:nvSpPr>
                    <xdr:cNvPr id="187" name="CuadroTexto 186">
                      <a:extLst>
                        <a:ext uri="{FF2B5EF4-FFF2-40B4-BE49-F238E27FC236}">
                          <a16:creationId xmlns:a16="http://schemas.microsoft.com/office/drawing/2014/main" id="{00000000-0008-0000-0A00-0000E2010000}"/>
                        </a:ext>
                      </a:extLst>
                    </xdr:cNvPr>
                    <xdr:cNvSpPr txBox="1"/>
                  </xdr:nvSpPr>
                  <xdr:spPr>
                    <a:xfrm>
                      <a:off x="2429979" y="1355004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2" name="Grupo 101">
                  <a:extLst>
                    <a:ext uri="{FF2B5EF4-FFF2-40B4-BE49-F238E27FC236}">
                      <a16:creationId xmlns:a16="http://schemas.microsoft.com/office/drawing/2014/main" id="{00000000-0008-0000-0A00-0000E6010000}"/>
                    </a:ext>
                  </a:extLst>
                </xdr:cNvPr>
                <xdr:cNvGrpSpPr/>
              </xdr:nvGrpSpPr>
              <xdr:grpSpPr>
                <a:xfrm>
                  <a:off x="3159656" y="13106368"/>
                  <a:ext cx="2195848" cy="720000"/>
                  <a:chOff x="3159656" y="13106368"/>
                  <a:chExt cx="2195848" cy="720000"/>
                </a:xfrm>
              </xdr:grpSpPr>
              <xdr:grpSp>
                <xdr:nvGrpSpPr>
                  <xdr:cNvPr id="175" name="Grupo 174">
                    <a:extLst>
                      <a:ext uri="{FF2B5EF4-FFF2-40B4-BE49-F238E27FC236}">
                        <a16:creationId xmlns:a16="http://schemas.microsoft.com/office/drawing/2014/main" id="{00000000-0008-0000-0A00-000015000000}"/>
                      </a:ext>
                    </a:extLst>
                  </xdr:cNvPr>
                  <xdr:cNvGrpSpPr/>
                </xdr:nvGrpSpPr>
                <xdr:grpSpPr>
                  <a:xfrm>
                    <a:off x="3159656" y="13106368"/>
                    <a:ext cx="2195848" cy="720000"/>
                    <a:chOff x="28670251" y="2081892"/>
                    <a:chExt cx="2033442" cy="585107"/>
                  </a:xfrm>
                </xdr:grpSpPr>
                <xdr:sp macro="" textlink="">
                  <xdr:nvSpPr>
                    <xdr:cNvPr id="180" name="Cheurón 179">
                      <a:extLst>
                        <a:ext uri="{FF2B5EF4-FFF2-40B4-BE49-F238E27FC236}">
                          <a16:creationId xmlns:a16="http://schemas.microsoft.com/office/drawing/2014/main" id="{00000000-0008-0000-0A00-000016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1" name="CuadroTexto 180">
                      <a:extLst>
                        <a:ext uri="{FF2B5EF4-FFF2-40B4-BE49-F238E27FC236}">
                          <a16:creationId xmlns:a16="http://schemas.microsoft.com/office/drawing/2014/main" id="{00000000-0008-0000-0A00-000017000000}"/>
                        </a:ext>
                      </a:extLst>
                    </xdr:cNvPr>
                    <xdr:cNvSpPr txBox="1"/>
                  </xdr:nvSpPr>
                  <xdr:spPr>
                    <a:xfrm>
                      <a:off x="28843624" y="2159702"/>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L$11">
                  <xdr:nvSpPr>
                    <xdr:cNvPr id="182" name="Rectángulo redondeado 181">
                      <a:extLst>
                        <a:ext uri="{FF2B5EF4-FFF2-40B4-BE49-F238E27FC236}">
                          <a16:creationId xmlns:a16="http://schemas.microsoft.com/office/drawing/2014/main" id="{00000000-0008-0000-0A00-000018000000}"/>
                        </a:ext>
                      </a:extLst>
                    </xdr:cNvPr>
                    <xdr:cNvSpPr/>
                  </xdr:nvSpPr>
                  <xdr:spPr>
                    <a:xfrm>
                      <a:off x="29836919" y="2179693"/>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5F665B-B594-4379-AE59-E6872E3D2C9D}"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76" name="Grupo 175">
                    <a:extLst>
                      <a:ext uri="{FF2B5EF4-FFF2-40B4-BE49-F238E27FC236}">
                        <a16:creationId xmlns:a16="http://schemas.microsoft.com/office/drawing/2014/main" id="{00000000-0008-0000-0A00-0000E5010000}"/>
                      </a:ext>
                    </a:extLst>
                  </xdr:cNvPr>
                  <xdr:cNvGrpSpPr/>
                </xdr:nvGrpSpPr>
                <xdr:grpSpPr>
                  <a:xfrm>
                    <a:off x="4416617" y="13536434"/>
                    <a:ext cx="770852" cy="284349"/>
                    <a:chOff x="4416617" y="13536434"/>
                    <a:chExt cx="770852" cy="284349"/>
                  </a:xfrm>
                </xdr:grpSpPr>
                <xdr:sp macro="" textlink="$K$11">
                  <xdr:nvSpPr>
                    <xdr:cNvPr id="177" name="Rectángulo 176">
                      <a:extLst>
                        <a:ext uri="{FF2B5EF4-FFF2-40B4-BE49-F238E27FC236}">
                          <a16:creationId xmlns:a16="http://schemas.microsoft.com/office/drawing/2014/main" id="{00000000-0008-0000-0A00-000040010000}"/>
                        </a:ext>
                      </a:extLst>
                    </xdr:cNvPr>
                    <xdr:cNvSpPr/>
                  </xdr:nvSpPr>
                  <xdr:spPr>
                    <a:xfrm>
                      <a:off x="4452250" y="135486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E953BC-1753-4935-9202-7E4B1B8CA915}" type="TxLink">
                        <a:rPr lang="en-US" sz="1100" b="1" i="0" u="none" strike="noStrike">
                          <a:solidFill>
                            <a:srgbClr val="FFFF00"/>
                          </a:solidFill>
                          <a:latin typeface="Century Gothic"/>
                        </a:rPr>
                        <a:pPr algn="ctr"/>
                        <a:t>1</a:t>
                      </a:fld>
                      <a:endParaRPr lang="es-CO" sz="1800" b="1">
                        <a:solidFill>
                          <a:srgbClr val="FFFF00"/>
                        </a:solidFill>
                      </a:endParaRPr>
                    </a:p>
                  </xdr:txBody>
                </xdr:sp>
                <xdr:sp macro="" textlink="$J$11">
                  <xdr:nvSpPr>
                    <xdr:cNvPr id="178" name="Rectángulo 177">
                      <a:extLst>
                        <a:ext uri="{FF2B5EF4-FFF2-40B4-BE49-F238E27FC236}">
                          <a16:creationId xmlns:a16="http://schemas.microsoft.com/office/drawing/2014/main" id="{00000000-0008-0000-0A00-000041010000}"/>
                        </a:ext>
                      </a:extLst>
                    </xdr:cNvPr>
                    <xdr:cNvSpPr/>
                  </xdr:nvSpPr>
                  <xdr:spPr>
                    <a:xfrm>
                      <a:off x="4728345" y="135486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60BBF8-502D-45C2-BAA0-A7B0D1A5FEB6}" type="TxLink">
                        <a:rPr lang="en-US" sz="1100" b="1" i="0" u="none" strike="noStrike">
                          <a:solidFill>
                            <a:srgbClr val="FFFF00"/>
                          </a:solidFill>
                          <a:latin typeface="Century Gothic"/>
                        </a:rPr>
                        <a:pPr algn="ctr"/>
                        <a:t>1</a:t>
                      </a:fld>
                      <a:endParaRPr lang="es-CO" sz="1800" b="1">
                        <a:solidFill>
                          <a:srgbClr val="FFFF00"/>
                        </a:solidFill>
                      </a:endParaRPr>
                    </a:p>
                  </xdr:txBody>
                </xdr:sp>
                <xdr:sp macro="" textlink="">
                  <xdr:nvSpPr>
                    <xdr:cNvPr id="179" name="CuadroTexto 178">
                      <a:extLst>
                        <a:ext uri="{FF2B5EF4-FFF2-40B4-BE49-F238E27FC236}">
                          <a16:creationId xmlns:a16="http://schemas.microsoft.com/office/drawing/2014/main" id="{00000000-0008-0000-0A00-0000E4010000}"/>
                        </a:ext>
                      </a:extLst>
                    </xdr:cNvPr>
                    <xdr:cNvSpPr txBox="1"/>
                  </xdr:nvSpPr>
                  <xdr:spPr>
                    <a:xfrm>
                      <a:off x="4416617" y="1353643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3" name="Grupo 102">
                  <a:extLst>
                    <a:ext uri="{FF2B5EF4-FFF2-40B4-BE49-F238E27FC236}">
                      <a16:creationId xmlns:a16="http://schemas.microsoft.com/office/drawing/2014/main" id="{00000000-0008-0000-0A00-0000EA010000}"/>
                    </a:ext>
                  </a:extLst>
                </xdr:cNvPr>
                <xdr:cNvGrpSpPr/>
              </xdr:nvGrpSpPr>
              <xdr:grpSpPr>
                <a:xfrm>
                  <a:off x="5121794" y="13109091"/>
                  <a:ext cx="2182243" cy="720000"/>
                  <a:chOff x="5121794" y="13109091"/>
                  <a:chExt cx="2182243" cy="720000"/>
                </a:xfrm>
              </xdr:grpSpPr>
              <xdr:grpSp>
                <xdr:nvGrpSpPr>
                  <xdr:cNvPr id="167" name="Grupo 166">
                    <a:extLst>
                      <a:ext uri="{FF2B5EF4-FFF2-40B4-BE49-F238E27FC236}">
                        <a16:creationId xmlns:a16="http://schemas.microsoft.com/office/drawing/2014/main" id="{00000000-0008-0000-0A00-000019000000}"/>
                      </a:ext>
                    </a:extLst>
                  </xdr:cNvPr>
                  <xdr:cNvGrpSpPr/>
                </xdr:nvGrpSpPr>
                <xdr:grpSpPr>
                  <a:xfrm>
                    <a:off x="5121794" y="13109091"/>
                    <a:ext cx="2182243" cy="720000"/>
                    <a:chOff x="28670251" y="2081892"/>
                    <a:chExt cx="2020844" cy="585107"/>
                  </a:xfrm>
                </xdr:grpSpPr>
                <xdr:sp macro="" textlink="">
                  <xdr:nvSpPr>
                    <xdr:cNvPr id="172" name="Cheurón 171">
                      <a:extLst>
                        <a:ext uri="{FF2B5EF4-FFF2-40B4-BE49-F238E27FC236}">
                          <a16:creationId xmlns:a16="http://schemas.microsoft.com/office/drawing/2014/main" id="{00000000-0008-0000-0A00-00001A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73" name="CuadroTexto 172">
                      <a:extLst>
                        <a:ext uri="{FF2B5EF4-FFF2-40B4-BE49-F238E27FC236}">
                          <a16:creationId xmlns:a16="http://schemas.microsoft.com/office/drawing/2014/main" id="{00000000-0008-0000-0A00-00001B000000}"/>
                        </a:ext>
                      </a:extLst>
                    </xdr:cNvPr>
                    <xdr:cNvSpPr txBox="1"/>
                  </xdr:nvSpPr>
                  <xdr:spPr>
                    <a:xfrm>
                      <a:off x="28864817" y="2159702"/>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L$12">
                  <xdr:nvSpPr>
                    <xdr:cNvPr id="174" name="Rectángulo redondeado 173">
                      <a:extLst>
                        <a:ext uri="{FF2B5EF4-FFF2-40B4-BE49-F238E27FC236}">
                          <a16:creationId xmlns:a16="http://schemas.microsoft.com/office/drawing/2014/main" id="{00000000-0008-0000-0A00-00001C000000}"/>
                        </a:ext>
                      </a:extLst>
                    </xdr:cNvPr>
                    <xdr:cNvSpPr/>
                  </xdr:nvSpPr>
                  <xdr:spPr>
                    <a:xfrm>
                      <a:off x="29824321" y="2179693"/>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240F7D-105B-4399-8554-1ECF9D3E287E}"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68" name="Grupo 167">
                    <a:extLst>
                      <a:ext uri="{FF2B5EF4-FFF2-40B4-BE49-F238E27FC236}">
                        <a16:creationId xmlns:a16="http://schemas.microsoft.com/office/drawing/2014/main" id="{00000000-0008-0000-0A00-0000E9010000}"/>
                      </a:ext>
                    </a:extLst>
                  </xdr:cNvPr>
                  <xdr:cNvGrpSpPr/>
                </xdr:nvGrpSpPr>
                <xdr:grpSpPr>
                  <a:xfrm>
                    <a:off x="6371102" y="13544941"/>
                    <a:ext cx="770852" cy="278565"/>
                    <a:chOff x="6371102" y="13544941"/>
                    <a:chExt cx="770852" cy="278565"/>
                  </a:xfrm>
                </xdr:grpSpPr>
                <xdr:sp macro="" textlink="$K$12">
                  <xdr:nvSpPr>
                    <xdr:cNvPr id="169" name="Rectángulo 168">
                      <a:extLst>
                        <a:ext uri="{FF2B5EF4-FFF2-40B4-BE49-F238E27FC236}">
                          <a16:creationId xmlns:a16="http://schemas.microsoft.com/office/drawing/2014/main" id="{00000000-0008-0000-0A00-000042010000}"/>
                        </a:ext>
                      </a:extLst>
                    </xdr:cNvPr>
                    <xdr:cNvSpPr/>
                  </xdr:nvSpPr>
                  <xdr:spPr>
                    <a:xfrm>
                      <a:off x="6400791"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30229BC-7F93-47C7-9E7B-53A219876A3E}" type="TxLink">
                        <a:rPr lang="en-US" sz="1100" b="1" i="0" u="none" strike="noStrike">
                          <a:solidFill>
                            <a:srgbClr val="FFFF00"/>
                          </a:solidFill>
                          <a:latin typeface="Century Gothic"/>
                        </a:rPr>
                        <a:pPr algn="ctr"/>
                        <a:t>2</a:t>
                      </a:fld>
                      <a:endParaRPr lang="es-CO" sz="2000" b="1">
                        <a:solidFill>
                          <a:srgbClr val="FFFF00"/>
                        </a:solidFill>
                      </a:endParaRPr>
                    </a:p>
                  </xdr:txBody>
                </xdr:sp>
                <xdr:sp macro="" textlink="$J$12">
                  <xdr:nvSpPr>
                    <xdr:cNvPr id="170" name="Rectángulo 169">
                      <a:extLst>
                        <a:ext uri="{FF2B5EF4-FFF2-40B4-BE49-F238E27FC236}">
                          <a16:creationId xmlns:a16="http://schemas.microsoft.com/office/drawing/2014/main" id="{00000000-0008-0000-0A00-000043010000}"/>
                        </a:ext>
                      </a:extLst>
                    </xdr:cNvPr>
                    <xdr:cNvSpPr/>
                  </xdr:nvSpPr>
                  <xdr:spPr>
                    <a:xfrm>
                      <a:off x="6676885"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02CBDA-4975-4C1B-A271-C14D6D24756D}" type="TxLink">
                        <a:rPr lang="en-US" sz="1100" b="1" i="0" u="none" strike="noStrike">
                          <a:solidFill>
                            <a:srgbClr val="FFFF00"/>
                          </a:solidFill>
                          <a:latin typeface="Century Gothic"/>
                        </a:rPr>
                        <a:pPr algn="ctr"/>
                        <a:t>2</a:t>
                      </a:fld>
                      <a:endParaRPr lang="es-CO" sz="2000" b="1">
                        <a:solidFill>
                          <a:srgbClr val="FFFF00"/>
                        </a:solidFill>
                      </a:endParaRPr>
                    </a:p>
                  </xdr:txBody>
                </xdr:sp>
                <xdr:sp macro="" textlink="">
                  <xdr:nvSpPr>
                    <xdr:cNvPr id="171" name="CuadroTexto 170">
                      <a:extLst>
                        <a:ext uri="{FF2B5EF4-FFF2-40B4-BE49-F238E27FC236}">
                          <a16:creationId xmlns:a16="http://schemas.microsoft.com/office/drawing/2014/main" id="{00000000-0008-0000-0A00-0000E8010000}"/>
                        </a:ext>
                      </a:extLst>
                    </xdr:cNvPr>
                    <xdr:cNvSpPr txBox="1"/>
                  </xdr:nvSpPr>
                  <xdr:spPr>
                    <a:xfrm>
                      <a:off x="6371102" y="1354494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4" name="Grupo 103">
                  <a:extLst>
                    <a:ext uri="{FF2B5EF4-FFF2-40B4-BE49-F238E27FC236}">
                      <a16:creationId xmlns:a16="http://schemas.microsoft.com/office/drawing/2014/main" id="{00000000-0008-0000-0A00-0000ED010000}"/>
                    </a:ext>
                  </a:extLst>
                </xdr:cNvPr>
                <xdr:cNvGrpSpPr/>
              </xdr:nvGrpSpPr>
              <xdr:grpSpPr>
                <a:xfrm>
                  <a:off x="7078947" y="13106711"/>
                  <a:ext cx="2175256" cy="725999"/>
                  <a:chOff x="7078947" y="13106711"/>
                  <a:chExt cx="2175256" cy="725999"/>
                </a:xfrm>
              </xdr:grpSpPr>
              <xdr:grpSp>
                <xdr:nvGrpSpPr>
                  <xdr:cNvPr id="159" name="Grupo 158">
                    <a:extLst>
                      <a:ext uri="{FF2B5EF4-FFF2-40B4-BE49-F238E27FC236}">
                        <a16:creationId xmlns:a16="http://schemas.microsoft.com/office/drawing/2014/main" id="{00000000-0008-0000-0A00-00001D000000}"/>
                      </a:ext>
                    </a:extLst>
                  </xdr:cNvPr>
                  <xdr:cNvGrpSpPr/>
                </xdr:nvGrpSpPr>
                <xdr:grpSpPr>
                  <a:xfrm>
                    <a:off x="7078947" y="13106711"/>
                    <a:ext cx="2175256" cy="720000"/>
                    <a:chOff x="28678435" y="2088803"/>
                    <a:chExt cx="2055483" cy="585107"/>
                  </a:xfrm>
                </xdr:grpSpPr>
                <xdr:sp macro="" textlink="">
                  <xdr:nvSpPr>
                    <xdr:cNvPr id="164" name="Cheurón 163">
                      <a:extLst>
                        <a:ext uri="{FF2B5EF4-FFF2-40B4-BE49-F238E27FC236}">
                          <a16:creationId xmlns:a16="http://schemas.microsoft.com/office/drawing/2014/main" id="{00000000-0008-0000-0A00-00001E000000}"/>
                        </a:ext>
                      </a:extLst>
                    </xdr:cNvPr>
                    <xdr:cNvSpPr/>
                  </xdr:nvSpPr>
                  <xdr:spPr>
                    <a:xfrm>
                      <a:off x="28678435" y="2088803"/>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65" name="CuadroTexto 164">
                      <a:extLst>
                        <a:ext uri="{FF2B5EF4-FFF2-40B4-BE49-F238E27FC236}">
                          <a16:creationId xmlns:a16="http://schemas.microsoft.com/office/drawing/2014/main" id="{00000000-0008-0000-0A00-00001F000000}"/>
                        </a:ext>
                      </a:extLst>
                    </xdr:cNvPr>
                    <xdr:cNvSpPr txBox="1"/>
                  </xdr:nvSpPr>
                  <xdr:spPr>
                    <a:xfrm>
                      <a:off x="28751134" y="2170761"/>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L$13">
                  <xdr:nvSpPr>
                    <xdr:cNvPr id="166" name="Rectángulo redondeado 165">
                      <a:extLst>
                        <a:ext uri="{FF2B5EF4-FFF2-40B4-BE49-F238E27FC236}">
                          <a16:creationId xmlns:a16="http://schemas.microsoft.com/office/drawing/2014/main" id="{00000000-0008-0000-0A00-000020000000}"/>
                        </a:ext>
                      </a:extLst>
                    </xdr:cNvPr>
                    <xdr:cNvSpPr/>
                  </xdr:nvSpPr>
                  <xdr:spPr>
                    <a:xfrm>
                      <a:off x="29849455" y="2179693"/>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890802-BC4A-4034-99D4-519BEE554BFA}" type="TxLink">
                        <a:rPr lang="en-US" sz="1600" b="1" i="0" u="none" strike="noStrike">
                          <a:solidFill>
                            <a:srgbClr val="FFFF00"/>
                          </a:solidFill>
                          <a:latin typeface="Century Gothic"/>
                        </a:rPr>
                        <a:pPr algn="ctr"/>
                        <a:t>40,0%</a:t>
                      </a:fld>
                      <a:endParaRPr lang="es-CO" sz="1800">
                        <a:solidFill>
                          <a:srgbClr val="FFFF00"/>
                        </a:solidFill>
                      </a:endParaRPr>
                    </a:p>
                  </xdr:txBody>
                </xdr:sp>
              </xdr:grpSp>
              <xdr:grpSp>
                <xdr:nvGrpSpPr>
                  <xdr:cNvPr id="160" name="Grupo 159">
                    <a:extLst>
                      <a:ext uri="{FF2B5EF4-FFF2-40B4-BE49-F238E27FC236}">
                        <a16:creationId xmlns:a16="http://schemas.microsoft.com/office/drawing/2014/main" id="{00000000-0008-0000-0A00-0000EC010000}"/>
                      </a:ext>
                    </a:extLst>
                  </xdr:cNvPr>
                  <xdr:cNvGrpSpPr/>
                </xdr:nvGrpSpPr>
                <xdr:grpSpPr>
                  <a:xfrm>
                    <a:off x="8330530" y="13560566"/>
                    <a:ext cx="770852" cy="272144"/>
                    <a:chOff x="8330530" y="13560566"/>
                    <a:chExt cx="770852" cy="272144"/>
                  </a:xfrm>
                </xdr:grpSpPr>
                <xdr:sp macro="" textlink="$K$13">
                  <xdr:nvSpPr>
                    <xdr:cNvPr id="161" name="Rectángulo 160">
                      <a:extLst>
                        <a:ext uri="{FF2B5EF4-FFF2-40B4-BE49-F238E27FC236}">
                          <a16:creationId xmlns:a16="http://schemas.microsoft.com/office/drawing/2014/main" id="{00000000-0008-0000-0A00-000044010000}"/>
                        </a:ext>
                      </a:extLst>
                    </xdr:cNvPr>
                    <xdr:cNvSpPr/>
                  </xdr:nvSpPr>
                  <xdr:spPr>
                    <a:xfrm>
                      <a:off x="8371601" y="1356056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ED8739-23E1-427F-B12C-06E95B1BB24C}" type="TxLink">
                        <a:rPr lang="en-US" sz="1100" b="1" i="0" u="none" strike="noStrike">
                          <a:solidFill>
                            <a:srgbClr val="FFFF00"/>
                          </a:solidFill>
                          <a:latin typeface="Century Gothic"/>
                        </a:rPr>
                        <a:pPr algn="ctr"/>
                        <a:t>2</a:t>
                      </a:fld>
                      <a:endParaRPr lang="es-CO" sz="2400" b="1">
                        <a:solidFill>
                          <a:srgbClr val="FFFF00"/>
                        </a:solidFill>
                      </a:endParaRPr>
                    </a:p>
                  </xdr:txBody>
                </xdr:sp>
                <xdr:sp macro="" textlink="$J$13">
                  <xdr:nvSpPr>
                    <xdr:cNvPr id="162" name="Rectángulo 161">
                      <a:extLst>
                        <a:ext uri="{FF2B5EF4-FFF2-40B4-BE49-F238E27FC236}">
                          <a16:creationId xmlns:a16="http://schemas.microsoft.com/office/drawing/2014/main" id="{00000000-0008-0000-0A00-000045010000}"/>
                        </a:ext>
                      </a:extLst>
                    </xdr:cNvPr>
                    <xdr:cNvSpPr/>
                  </xdr:nvSpPr>
                  <xdr:spPr>
                    <a:xfrm>
                      <a:off x="8647695" y="135605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C5A287-A2C2-43F4-8A6F-5EA2E577CA93}" type="TxLink">
                        <a:rPr lang="en-US" sz="1100" b="1" i="0" u="none" strike="noStrike">
                          <a:solidFill>
                            <a:srgbClr val="FFFF00"/>
                          </a:solidFill>
                          <a:latin typeface="Century Gothic"/>
                        </a:rPr>
                        <a:pPr algn="ctr"/>
                        <a:t>5</a:t>
                      </a:fld>
                      <a:endParaRPr lang="es-CO" sz="2400" b="1">
                        <a:solidFill>
                          <a:srgbClr val="FFFF00"/>
                        </a:solidFill>
                      </a:endParaRPr>
                    </a:p>
                  </xdr:txBody>
                </xdr:sp>
                <xdr:sp macro="" textlink="">
                  <xdr:nvSpPr>
                    <xdr:cNvPr id="163" name="CuadroTexto 162">
                      <a:extLst>
                        <a:ext uri="{FF2B5EF4-FFF2-40B4-BE49-F238E27FC236}">
                          <a16:creationId xmlns:a16="http://schemas.microsoft.com/office/drawing/2014/main" id="{00000000-0008-0000-0A00-0000EB010000}"/>
                        </a:ext>
                      </a:extLst>
                    </xdr:cNvPr>
                    <xdr:cNvSpPr txBox="1"/>
                  </xdr:nvSpPr>
                  <xdr:spPr>
                    <a:xfrm>
                      <a:off x="8330530" y="135643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5" name="Grupo 104">
                  <a:extLst>
                    <a:ext uri="{FF2B5EF4-FFF2-40B4-BE49-F238E27FC236}">
                      <a16:creationId xmlns:a16="http://schemas.microsoft.com/office/drawing/2014/main" id="{00000000-0008-0000-0A00-0000F0010000}"/>
                    </a:ext>
                  </a:extLst>
                </xdr:cNvPr>
                <xdr:cNvGrpSpPr/>
              </xdr:nvGrpSpPr>
              <xdr:grpSpPr>
                <a:xfrm>
                  <a:off x="8986712" y="13100930"/>
                  <a:ext cx="2173581" cy="728022"/>
                  <a:chOff x="8986712" y="13100930"/>
                  <a:chExt cx="2173581" cy="728022"/>
                </a:xfrm>
              </xdr:grpSpPr>
              <xdr:grpSp>
                <xdr:nvGrpSpPr>
                  <xdr:cNvPr id="151" name="Grupo 150">
                    <a:extLst>
                      <a:ext uri="{FF2B5EF4-FFF2-40B4-BE49-F238E27FC236}">
                        <a16:creationId xmlns:a16="http://schemas.microsoft.com/office/drawing/2014/main" id="{00000000-0008-0000-0A00-000021000000}"/>
                      </a:ext>
                    </a:extLst>
                  </xdr:cNvPr>
                  <xdr:cNvGrpSpPr/>
                </xdr:nvGrpSpPr>
                <xdr:grpSpPr>
                  <a:xfrm>
                    <a:off x="8986712" y="13100930"/>
                    <a:ext cx="2173581" cy="720000"/>
                    <a:chOff x="28678271" y="2081892"/>
                    <a:chExt cx="2012823" cy="585107"/>
                  </a:xfrm>
                </xdr:grpSpPr>
                <xdr:sp macro="" textlink="">
                  <xdr:nvSpPr>
                    <xdr:cNvPr id="156" name="Cheurón 155">
                      <a:extLst>
                        <a:ext uri="{FF2B5EF4-FFF2-40B4-BE49-F238E27FC236}">
                          <a16:creationId xmlns:a16="http://schemas.microsoft.com/office/drawing/2014/main" id="{00000000-0008-0000-0A00-000022000000}"/>
                        </a:ext>
                      </a:extLst>
                    </xdr:cNvPr>
                    <xdr:cNvSpPr/>
                  </xdr:nvSpPr>
                  <xdr:spPr>
                    <a:xfrm>
                      <a:off x="2867827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57" name="CuadroTexto 156">
                      <a:extLst>
                        <a:ext uri="{FF2B5EF4-FFF2-40B4-BE49-F238E27FC236}">
                          <a16:creationId xmlns:a16="http://schemas.microsoft.com/office/drawing/2014/main" id="{00000000-0008-0000-0A00-000023000000}"/>
                        </a:ext>
                      </a:extLst>
                    </xdr:cNvPr>
                    <xdr:cNvSpPr txBox="1"/>
                  </xdr:nvSpPr>
                  <xdr:spPr>
                    <a:xfrm>
                      <a:off x="28906408" y="2166613"/>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L$14">
                  <xdr:nvSpPr>
                    <xdr:cNvPr id="158" name="Rectángulo redondeado 157">
                      <a:extLst>
                        <a:ext uri="{FF2B5EF4-FFF2-40B4-BE49-F238E27FC236}">
                          <a16:creationId xmlns:a16="http://schemas.microsoft.com/office/drawing/2014/main" id="{00000000-0008-0000-0A00-000024000000}"/>
                        </a:ext>
                      </a:extLst>
                    </xdr:cNvPr>
                    <xdr:cNvSpPr/>
                  </xdr:nvSpPr>
                  <xdr:spPr>
                    <a:xfrm>
                      <a:off x="29824320"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F3AC10-9984-42F8-9A01-BE32B94A9C65}"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52" name="Grupo 151">
                    <a:extLst>
                      <a:ext uri="{FF2B5EF4-FFF2-40B4-BE49-F238E27FC236}">
                        <a16:creationId xmlns:a16="http://schemas.microsoft.com/office/drawing/2014/main" id="{00000000-0008-0000-0A00-0000EF010000}"/>
                      </a:ext>
                    </a:extLst>
                  </xdr:cNvPr>
                  <xdr:cNvGrpSpPr/>
                </xdr:nvGrpSpPr>
                <xdr:grpSpPr>
                  <a:xfrm>
                    <a:off x="10230583" y="13541544"/>
                    <a:ext cx="770852" cy="287408"/>
                    <a:chOff x="10230583" y="13541544"/>
                    <a:chExt cx="770852" cy="287408"/>
                  </a:xfrm>
                </xdr:grpSpPr>
                <xdr:sp macro="" textlink="$K$14">
                  <xdr:nvSpPr>
                    <xdr:cNvPr id="153" name="Rectángulo 152">
                      <a:extLst>
                        <a:ext uri="{FF2B5EF4-FFF2-40B4-BE49-F238E27FC236}">
                          <a16:creationId xmlns:a16="http://schemas.microsoft.com/office/drawing/2014/main" id="{00000000-0008-0000-0A00-000046010000}"/>
                        </a:ext>
                      </a:extLst>
                    </xdr:cNvPr>
                    <xdr:cNvSpPr/>
                  </xdr:nvSpPr>
                  <xdr:spPr>
                    <a:xfrm>
                      <a:off x="10243446"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8B233F-90EE-4133-A7F7-3D32A5F47C51}" type="TxLink">
                        <a:rPr lang="en-US" sz="1100" b="1" i="0" u="none" strike="noStrike">
                          <a:solidFill>
                            <a:srgbClr val="FFFF00"/>
                          </a:solidFill>
                          <a:latin typeface="Century Gothic"/>
                        </a:rPr>
                        <a:pPr algn="ctr"/>
                        <a:t>2</a:t>
                      </a:fld>
                      <a:endParaRPr lang="es-CO" sz="2800" b="1">
                        <a:solidFill>
                          <a:srgbClr val="FFFF00"/>
                        </a:solidFill>
                      </a:endParaRPr>
                    </a:p>
                  </xdr:txBody>
                </xdr:sp>
                <xdr:sp macro="" textlink="$J$14">
                  <xdr:nvSpPr>
                    <xdr:cNvPr id="154" name="Rectángulo 153">
                      <a:extLst>
                        <a:ext uri="{FF2B5EF4-FFF2-40B4-BE49-F238E27FC236}">
                          <a16:creationId xmlns:a16="http://schemas.microsoft.com/office/drawing/2014/main" id="{00000000-0008-0000-0A00-000047010000}"/>
                        </a:ext>
                      </a:extLst>
                    </xdr:cNvPr>
                    <xdr:cNvSpPr/>
                  </xdr:nvSpPr>
                  <xdr:spPr>
                    <a:xfrm>
                      <a:off x="10545523"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668F58C-15F1-4CB0-BF63-895BE213D47D}" type="TxLink">
                        <a:rPr lang="en-US" sz="1100" b="1" i="0" u="none" strike="noStrike">
                          <a:solidFill>
                            <a:srgbClr val="FFFF00"/>
                          </a:solidFill>
                          <a:latin typeface="Century Gothic"/>
                        </a:rPr>
                        <a:pPr algn="ctr"/>
                        <a:t>2</a:t>
                      </a:fld>
                      <a:endParaRPr lang="es-CO" sz="2800" b="1">
                        <a:solidFill>
                          <a:srgbClr val="FFFF00"/>
                        </a:solidFill>
                      </a:endParaRPr>
                    </a:p>
                  </xdr:txBody>
                </xdr:sp>
                <xdr:sp macro="" textlink="">
                  <xdr:nvSpPr>
                    <xdr:cNvPr id="155" name="CuadroTexto 154">
                      <a:extLst>
                        <a:ext uri="{FF2B5EF4-FFF2-40B4-BE49-F238E27FC236}">
                          <a16:creationId xmlns:a16="http://schemas.microsoft.com/office/drawing/2014/main" id="{00000000-0008-0000-0A00-0000EE010000}"/>
                        </a:ext>
                      </a:extLst>
                    </xdr:cNvPr>
                    <xdr:cNvSpPr txBox="1"/>
                  </xdr:nvSpPr>
                  <xdr:spPr>
                    <a:xfrm>
                      <a:off x="10230583" y="1354154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6" name="Grupo 105">
                  <a:extLst>
                    <a:ext uri="{FF2B5EF4-FFF2-40B4-BE49-F238E27FC236}">
                      <a16:creationId xmlns:a16="http://schemas.microsoft.com/office/drawing/2014/main" id="{00000000-0008-0000-0A00-0000F3010000}"/>
                    </a:ext>
                  </a:extLst>
                </xdr:cNvPr>
                <xdr:cNvGrpSpPr/>
              </xdr:nvGrpSpPr>
              <xdr:grpSpPr>
                <a:xfrm>
                  <a:off x="1254624" y="13881976"/>
                  <a:ext cx="2195845" cy="725301"/>
                  <a:chOff x="1254624" y="13881976"/>
                  <a:chExt cx="2195845" cy="725301"/>
                </a:xfrm>
              </xdr:grpSpPr>
              <xdr:grpSp>
                <xdr:nvGrpSpPr>
                  <xdr:cNvPr id="143" name="Grupo 142">
                    <a:extLst>
                      <a:ext uri="{FF2B5EF4-FFF2-40B4-BE49-F238E27FC236}">
                        <a16:creationId xmlns:a16="http://schemas.microsoft.com/office/drawing/2014/main" id="{00000000-0008-0000-0A00-000025000000}"/>
                      </a:ext>
                    </a:extLst>
                  </xdr:cNvPr>
                  <xdr:cNvGrpSpPr/>
                </xdr:nvGrpSpPr>
                <xdr:grpSpPr>
                  <a:xfrm>
                    <a:off x="1254624" y="13881976"/>
                    <a:ext cx="2195845" cy="720000"/>
                    <a:chOff x="28670251" y="2081892"/>
                    <a:chExt cx="2033441" cy="585107"/>
                  </a:xfrm>
                </xdr:grpSpPr>
                <xdr:sp macro="" textlink="">
                  <xdr:nvSpPr>
                    <xdr:cNvPr id="148" name="Cheurón 147">
                      <a:extLst>
                        <a:ext uri="{FF2B5EF4-FFF2-40B4-BE49-F238E27FC236}">
                          <a16:creationId xmlns:a16="http://schemas.microsoft.com/office/drawing/2014/main" id="{00000000-0008-0000-0A00-000026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49" name="CuadroTexto 148">
                      <a:extLst>
                        <a:ext uri="{FF2B5EF4-FFF2-40B4-BE49-F238E27FC236}">
                          <a16:creationId xmlns:a16="http://schemas.microsoft.com/office/drawing/2014/main" id="{00000000-0008-0000-0A00-000027000000}"/>
                        </a:ext>
                      </a:extLst>
                    </xdr:cNvPr>
                    <xdr:cNvSpPr txBox="1"/>
                  </xdr:nvSpPr>
                  <xdr:spPr>
                    <a:xfrm>
                      <a:off x="28887716" y="2115280"/>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L$15">
                  <xdr:nvSpPr>
                    <xdr:cNvPr id="150" name="Rectángulo redondeado 149">
                      <a:extLst>
                        <a:ext uri="{FF2B5EF4-FFF2-40B4-BE49-F238E27FC236}">
                          <a16:creationId xmlns:a16="http://schemas.microsoft.com/office/drawing/2014/main" id="{00000000-0008-0000-0A00-000028000000}"/>
                        </a:ext>
                      </a:extLst>
                    </xdr:cNvPr>
                    <xdr:cNvSpPr/>
                  </xdr:nvSpPr>
                  <xdr:spPr>
                    <a:xfrm>
                      <a:off x="29836918" y="215757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B70F24-3597-455E-9881-9F670DB698A4}"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44" name="Grupo 143">
                    <a:extLst>
                      <a:ext uri="{FF2B5EF4-FFF2-40B4-BE49-F238E27FC236}">
                        <a16:creationId xmlns:a16="http://schemas.microsoft.com/office/drawing/2014/main" id="{00000000-0008-0000-0A00-0000F2010000}"/>
                      </a:ext>
                    </a:extLst>
                  </xdr:cNvPr>
                  <xdr:cNvGrpSpPr/>
                </xdr:nvGrpSpPr>
                <xdr:grpSpPr>
                  <a:xfrm>
                    <a:off x="2520280" y="14325654"/>
                    <a:ext cx="770852" cy="281623"/>
                    <a:chOff x="2520280" y="14325654"/>
                    <a:chExt cx="770852" cy="281623"/>
                  </a:xfrm>
                </xdr:grpSpPr>
                <xdr:sp macro="" textlink="$K$15">
                  <xdr:nvSpPr>
                    <xdr:cNvPr id="145" name="Rectángulo 144">
                      <a:extLst>
                        <a:ext uri="{FF2B5EF4-FFF2-40B4-BE49-F238E27FC236}">
                          <a16:creationId xmlns:a16="http://schemas.microsoft.com/office/drawing/2014/main" id="{00000000-0008-0000-0A00-000048010000}"/>
                        </a:ext>
                      </a:extLst>
                    </xdr:cNvPr>
                    <xdr:cNvSpPr/>
                  </xdr:nvSpPr>
                  <xdr:spPr>
                    <a:xfrm>
                      <a:off x="2544545"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52C3B7-84F3-4306-9F51-94264694E69F}" type="TxLink">
                        <a:rPr lang="en-US" sz="1100" b="1" i="0" u="none" strike="noStrike">
                          <a:solidFill>
                            <a:srgbClr val="FFFF00"/>
                          </a:solidFill>
                          <a:latin typeface="Century Gothic"/>
                        </a:rPr>
                        <a:pPr algn="ctr"/>
                        <a:t>2</a:t>
                      </a:fld>
                      <a:endParaRPr lang="es-CO" sz="3200" b="1">
                        <a:solidFill>
                          <a:srgbClr val="FFFF00"/>
                        </a:solidFill>
                      </a:endParaRPr>
                    </a:p>
                  </xdr:txBody>
                </xdr:sp>
                <xdr:sp macro="" textlink="$J$15">
                  <xdr:nvSpPr>
                    <xdr:cNvPr id="146" name="Rectángulo 145">
                      <a:extLst>
                        <a:ext uri="{FF2B5EF4-FFF2-40B4-BE49-F238E27FC236}">
                          <a16:creationId xmlns:a16="http://schemas.microsoft.com/office/drawing/2014/main" id="{00000000-0008-0000-0A00-000049010000}"/>
                        </a:ext>
                      </a:extLst>
                    </xdr:cNvPr>
                    <xdr:cNvSpPr/>
                  </xdr:nvSpPr>
                  <xdr:spPr>
                    <a:xfrm>
                      <a:off x="2820639"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EA17CCE-9AE6-4CFC-AAE5-A1867B0BD6C0}" type="TxLink">
                        <a:rPr lang="en-US" sz="1100" b="1" i="0" u="none" strike="noStrike">
                          <a:solidFill>
                            <a:srgbClr val="FFFF00"/>
                          </a:solidFill>
                          <a:latin typeface="Century Gothic"/>
                        </a:rPr>
                        <a:pPr algn="ctr"/>
                        <a:t>2</a:t>
                      </a:fld>
                      <a:endParaRPr lang="es-CO" sz="3200" b="1">
                        <a:solidFill>
                          <a:srgbClr val="FFFF00"/>
                        </a:solidFill>
                      </a:endParaRPr>
                    </a:p>
                  </xdr:txBody>
                </xdr:sp>
                <xdr:sp macro="" textlink="">
                  <xdr:nvSpPr>
                    <xdr:cNvPr id="147" name="CuadroTexto 146">
                      <a:extLst>
                        <a:ext uri="{FF2B5EF4-FFF2-40B4-BE49-F238E27FC236}">
                          <a16:creationId xmlns:a16="http://schemas.microsoft.com/office/drawing/2014/main" id="{00000000-0008-0000-0A00-0000F1010000}"/>
                        </a:ext>
                      </a:extLst>
                    </xdr:cNvPr>
                    <xdr:cNvSpPr txBox="1"/>
                  </xdr:nvSpPr>
                  <xdr:spPr>
                    <a:xfrm>
                      <a:off x="2520280" y="143256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7" name="Grupo 106">
                  <a:extLst>
                    <a:ext uri="{FF2B5EF4-FFF2-40B4-BE49-F238E27FC236}">
                      <a16:creationId xmlns:a16="http://schemas.microsoft.com/office/drawing/2014/main" id="{00000000-0008-0000-0A00-0000F6010000}"/>
                    </a:ext>
                  </a:extLst>
                </xdr:cNvPr>
                <xdr:cNvGrpSpPr/>
              </xdr:nvGrpSpPr>
              <xdr:grpSpPr>
                <a:xfrm>
                  <a:off x="3216828" y="13884699"/>
                  <a:ext cx="2168636" cy="720000"/>
                  <a:chOff x="3216828" y="13884699"/>
                  <a:chExt cx="2168636" cy="720000"/>
                </a:xfrm>
              </xdr:grpSpPr>
              <xdr:grpSp>
                <xdr:nvGrpSpPr>
                  <xdr:cNvPr id="135" name="Grupo 134">
                    <a:extLst>
                      <a:ext uri="{FF2B5EF4-FFF2-40B4-BE49-F238E27FC236}">
                        <a16:creationId xmlns:a16="http://schemas.microsoft.com/office/drawing/2014/main" id="{00000000-0008-0000-0A00-000029000000}"/>
                      </a:ext>
                    </a:extLst>
                  </xdr:cNvPr>
                  <xdr:cNvGrpSpPr/>
                </xdr:nvGrpSpPr>
                <xdr:grpSpPr>
                  <a:xfrm>
                    <a:off x="3216828" y="13884699"/>
                    <a:ext cx="2168636" cy="720000"/>
                    <a:chOff x="28670251" y="2081892"/>
                    <a:chExt cx="2008241" cy="585107"/>
                  </a:xfrm>
                </xdr:grpSpPr>
                <xdr:sp macro="" textlink="">
                  <xdr:nvSpPr>
                    <xdr:cNvPr id="140" name="Cheurón 139">
                      <a:extLst>
                        <a:ext uri="{FF2B5EF4-FFF2-40B4-BE49-F238E27FC236}">
                          <a16:creationId xmlns:a16="http://schemas.microsoft.com/office/drawing/2014/main" id="{00000000-0008-0000-0A00-00002A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41" name="CuadroTexto 140">
                      <a:extLst>
                        <a:ext uri="{FF2B5EF4-FFF2-40B4-BE49-F238E27FC236}">
                          <a16:creationId xmlns:a16="http://schemas.microsoft.com/office/drawing/2014/main" id="{00000000-0008-0000-0A00-00002B000000}"/>
                        </a:ext>
                      </a:extLst>
                    </xdr:cNvPr>
                    <xdr:cNvSpPr txBox="1"/>
                  </xdr:nvSpPr>
                  <xdr:spPr>
                    <a:xfrm>
                      <a:off x="28828294" y="2115280"/>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L$16">
                  <xdr:nvSpPr>
                    <xdr:cNvPr id="142" name="Rectángulo redondeado 141">
                      <a:extLst>
                        <a:ext uri="{FF2B5EF4-FFF2-40B4-BE49-F238E27FC236}">
                          <a16:creationId xmlns:a16="http://schemas.microsoft.com/office/drawing/2014/main" id="{00000000-0008-0000-0A00-00002C000000}"/>
                        </a:ext>
                      </a:extLst>
                    </xdr:cNvPr>
                    <xdr:cNvSpPr/>
                  </xdr:nvSpPr>
                  <xdr:spPr>
                    <a:xfrm>
                      <a:off x="29811719"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F4CC68A-A8B4-405E-BE31-4D0AEC471047}"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36" name="Grupo 135">
                    <a:extLst>
                      <a:ext uri="{FF2B5EF4-FFF2-40B4-BE49-F238E27FC236}">
                        <a16:creationId xmlns:a16="http://schemas.microsoft.com/office/drawing/2014/main" id="{00000000-0008-0000-0A00-0000F5010000}"/>
                      </a:ext>
                    </a:extLst>
                  </xdr:cNvPr>
                  <xdr:cNvGrpSpPr/>
                </xdr:nvGrpSpPr>
                <xdr:grpSpPr>
                  <a:xfrm>
                    <a:off x="4471046" y="14320548"/>
                    <a:ext cx="770852" cy="275845"/>
                    <a:chOff x="4471046" y="14320548"/>
                    <a:chExt cx="770852" cy="275845"/>
                  </a:xfrm>
                </xdr:grpSpPr>
                <xdr:sp macro="" textlink="$K$16">
                  <xdr:nvSpPr>
                    <xdr:cNvPr id="137" name="Rectángulo 136">
                      <a:extLst>
                        <a:ext uri="{FF2B5EF4-FFF2-40B4-BE49-F238E27FC236}">
                          <a16:creationId xmlns:a16="http://schemas.microsoft.com/office/drawing/2014/main" id="{00000000-0008-0000-0A00-00004A010000}"/>
                        </a:ext>
                      </a:extLst>
                    </xdr:cNvPr>
                    <xdr:cNvSpPr/>
                  </xdr:nvSpPr>
                  <xdr:spPr>
                    <a:xfrm>
                      <a:off x="4506693"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819823D-1A0E-43F1-92E4-21360E255D2E}" type="TxLink">
                        <a:rPr lang="en-US" sz="1100" b="1" i="0" u="none" strike="noStrike">
                          <a:solidFill>
                            <a:srgbClr val="FFFF00"/>
                          </a:solidFill>
                          <a:latin typeface="Century Gothic"/>
                        </a:rPr>
                        <a:pPr algn="ctr"/>
                        <a:t>1</a:t>
                      </a:fld>
                      <a:endParaRPr lang="es-CO" sz="3600" b="1">
                        <a:solidFill>
                          <a:srgbClr val="FFFF00"/>
                        </a:solidFill>
                      </a:endParaRPr>
                    </a:p>
                  </xdr:txBody>
                </xdr:sp>
                <xdr:sp macro="" textlink="$J$16">
                  <xdr:nvSpPr>
                    <xdr:cNvPr id="138" name="Rectángulo 137">
                      <a:extLst>
                        <a:ext uri="{FF2B5EF4-FFF2-40B4-BE49-F238E27FC236}">
                          <a16:creationId xmlns:a16="http://schemas.microsoft.com/office/drawing/2014/main" id="{00000000-0008-0000-0A00-00004B010000}"/>
                        </a:ext>
                      </a:extLst>
                    </xdr:cNvPr>
                    <xdr:cNvSpPr/>
                  </xdr:nvSpPr>
                  <xdr:spPr>
                    <a:xfrm>
                      <a:off x="4782787"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9A0D945-88E7-4826-936C-0D30BB0A8EAF}" type="TxLink">
                        <a:rPr lang="en-US" sz="1100" b="1" i="0" u="none" strike="noStrike">
                          <a:solidFill>
                            <a:srgbClr val="FFFF00"/>
                          </a:solidFill>
                          <a:latin typeface="Century Gothic"/>
                        </a:rPr>
                        <a:pPr algn="ctr"/>
                        <a:t>1</a:t>
                      </a:fld>
                      <a:endParaRPr lang="es-CO" sz="3600" b="1">
                        <a:solidFill>
                          <a:srgbClr val="FFFF00"/>
                        </a:solidFill>
                      </a:endParaRPr>
                    </a:p>
                  </xdr:txBody>
                </xdr:sp>
                <xdr:sp macro="" textlink="">
                  <xdr:nvSpPr>
                    <xdr:cNvPr id="139" name="CuadroTexto 138">
                      <a:extLst>
                        <a:ext uri="{FF2B5EF4-FFF2-40B4-BE49-F238E27FC236}">
                          <a16:creationId xmlns:a16="http://schemas.microsoft.com/office/drawing/2014/main" id="{00000000-0008-0000-0A00-0000F4010000}"/>
                        </a:ext>
                      </a:extLst>
                    </xdr:cNvPr>
                    <xdr:cNvSpPr txBox="1"/>
                  </xdr:nvSpPr>
                  <xdr:spPr>
                    <a:xfrm>
                      <a:off x="4471046" y="1432054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8" name="Grupo 107">
                  <a:extLst>
                    <a:ext uri="{FF2B5EF4-FFF2-40B4-BE49-F238E27FC236}">
                      <a16:creationId xmlns:a16="http://schemas.microsoft.com/office/drawing/2014/main" id="{00000000-0008-0000-0A00-0000F9010000}"/>
                    </a:ext>
                  </a:extLst>
                </xdr:cNvPr>
                <xdr:cNvGrpSpPr/>
              </xdr:nvGrpSpPr>
              <xdr:grpSpPr>
                <a:xfrm>
                  <a:off x="5165316" y="13873815"/>
                  <a:ext cx="2195847" cy="725301"/>
                  <a:chOff x="5165316" y="13873815"/>
                  <a:chExt cx="2195847" cy="725301"/>
                </a:xfrm>
              </xdr:grpSpPr>
              <xdr:grpSp>
                <xdr:nvGrpSpPr>
                  <xdr:cNvPr id="127" name="Grupo 126">
                    <a:extLst>
                      <a:ext uri="{FF2B5EF4-FFF2-40B4-BE49-F238E27FC236}">
                        <a16:creationId xmlns:a16="http://schemas.microsoft.com/office/drawing/2014/main" id="{00000000-0008-0000-0A00-00002D000000}"/>
                      </a:ext>
                    </a:extLst>
                  </xdr:cNvPr>
                  <xdr:cNvGrpSpPr/>
                </xdr:nvGrpSpPr>
                <xdr:grpSpPr>
                  <a:xfrm>
                    <a:off x="5165316" y="13873815"/>
                    <a:ext cx="2195847" cy="720000"/>
                    <a:chOff x="28670251" y="2081892"/>
                    <a:chExt cx="2033443" cy="585107"/>
                  </a:xfrm>
                </xdr:grpSpPr>
                <xdr:sp macro="" textlink="">
                  <xdr:nvSpPr>
                    <xdr:cNvPr id="132" name="Cheurón 131">
                      <a:extLst>
                        <a:ext uri="{FF2B5EF4-FFF2-40B4-BE49-F238E27FC236}">
                          <a16:creationId xmlns:a16="http://schemas.microsoft.com/office/drawing/2014/main" id="{00000000-0008-0000-0A00-00002E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33" name="CuadroTexto 132">
                      <a:extLst>
                        <a:ext uri="{FF2B5EF4-FFF2-40B4-BE49-F238E27FC236}">
                          <a16:creationId xmlns:a16="http://schemas.microsoft.com/office/drawing/2014/main" id="{00000000-0008-0000-0A00-00002F000000}"/>
                        </a:ext>
                      </a:extLst>
                    </xdr:cNvPr>
                    <xdr:cNvSpPr txBox="1"/>
                  </xdr:nvSpPr>
                  <xdr:spPr>
                    <a:xfrm>
                      <a:off x="28808668" y="2126338"/>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L$17">
                  <xdr:nvSpPr>
                    <xdr:cNvPr id="134" name="Rectángulo redondeado 133">
                      <a:extLst>
                        <a:ext uri="{FF2B5EF4-FFF2-40B4-BE49-F238E27FC236}">
                          <a16:creationId xmlns:a16="http://schemas.microsoft.com/office/drawing/2014/main" id="{00000000-0008-0000-0A00-000030000000}"/>
                        </a:ext>
                      </a:extLst>
                    </xdr:cNvPr>
                    <xdr:cNvSpPr/>
                  </xdr:nvSpPr>
                  <xdr:spPr>
                    <a:xfrm>
                      <a:off x="29836919"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4DBF16E-EF0C-4682-AF2E-12DBDA345092}" type="TxLink">
                        <a:rPr lang="en-US" sz="1600" b="1" i="0" u="none" strike="noStrike">
                          <a:solidFill>
                            <a:srgbClr val="FFFF00"/>
                          </a:solidFill>
                          <a:latin typeface="Century Gothic"/>
                        </a:rPr>
                        <a:pPr algn="ctr"/>
                        <a:t>50,0%</a:t>
                      </a:fld>
                      <a:endParaRPr lang="es-CO" sz="1800">
                        <a:solidFill>
                          <a:srgbClr val="FFFF00"/>
                        </a:solidFill>
                      </a:endParaRPr>
                    </a:p>
                  </xdr:txBody>
                </xdr:sp>
              </xdr:grpSp>
              <xdr:grpSp>
                <xdr:nvGrpSpPr>
                  <xdr:cNvPr id="128" name="Grupo 127">
                    <a:extLst>
                      <a:ext uri="{FF2B5EF4-FFF2-40B4-BE49-F238E27FC236}">
                        <a16:creationId xmlns:a16="http://schemas.microsoft.com/office/drawing/2014/main" id="{00000000-0008-0000-0A00-0000F8010000}"/>
                      </a:ext>
                    </a:extLst>
                  </xdr:cNvPr>
                  <xdr:cNvGrpSpPr/>
                </xdr:nvGrpSpPr>
                <xdr:grpSpPr>
                  <a:xfrm>
                    <a:off x="6452743" y="14320549"/>
                    <a:ext cx="770852" cy="278567"/>
                    <a:chOff x="6452743" y="14320549"/>
                    <a:chExt cx="770852" cy="278567"/>
                  </a:xfrm>
                </xdr:grpSpPr>
                <xdr:sp macro="" textlink="$K$17">
                  <xdr:nvSpPr>
                    <xdr:cNvPr id="129" name="Rectángulo 128">
                      <a:extLst>
                        <a:ext uri="{FF2B5EF4-FFF2-40B4-BE49-F238E27FC236}">
                          <a16:creationId xmlns:a16="http://schemas.microsoft.com/office/drawing/2014/main" id="{00000000-0008-0000-0A00-00004C010000}"/>
                        </a:ext>
                      </a:extLst>
                    </xdr:cNvPr>
                    <xdr:cNvSpPr/>
                  </xdr:nvSpPr>
                  <xdr:spPr>
                    <a:xfrm>
                      <a:off x="6482448"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114EA6-0E3F-4548-AD48-0C289838D0FE}" type="TxLink">
                        <a:rPr lang="en-US" sz="1100" b="1" i="0" u="none" strike="noStrike">
                          <a:solidFill>
                            <a:srgbClr val="FFFF00"/>
                          </a:solidFill>
                          <a:latin typeface="Century Gothic"/>
                        </a:rPr>
                        <a:pPr algn="ctr"/>
                        <a:t>2</a:t>
                      </a:fld>
                      <a:endParaRPr lang="es-CO" sz="4000" b="1">
                        <a:solidFill>
                          <a:srgbClr val="FFFF00"/>
                        </a:solidFill>
                      </a:endParaRPr>
                    </a:p>
                  </xdr:txBody>
                </xdr:sp>
                <xdr:sp macro="" textlink="$J$17">
                  <xdr:nvSpPr>
                    <xdr:cNvPr id="130" name="Rectángulo 129">
                      <a:extLst>
                        <a:ext uri="{FF2B5EF4-FFF2-40B4-BE49-F238E27FC236}">
                          <a16:creationId xmlns:a16="http://schemas.microsoft.com/office/drawing/2014/main" id="{00000000-0008-0000-0A00-00004D010000}"/>
                        </a:ext>
                      </a:extLst>
                    </xdr:cNvPr>
                    <xdr:cNvSpPr/>
                  </xdr:nvSpPr>
                  <xdr:spPr>
                    <a:xfrm>
                      <a:off x="6758543"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C4A922-5423-4A04-B932-B03DC46BD7A4}" type="TxLink">
                        <a:rPr lang="en-US" sz="1100" b="1" i="0" u="none" strike="noStrike">
                          <a:solidFill>
                            <a:srgbClr val="FFFF00"/>
                          </a:solidFill>
                          <a:latin typeface="Century Gothic"/>
                        </a:rPr>
                        <a:pPr algn="ctr"/>
                        <a:t>4</a:t>
                      </a:fld>
                      <a:endParaRPr lang="es-CO" sz="4000" b="1">
                        <a:solidFill>
                          <a:srgbClr val="FFFF00"/>
                        </a:solidFill>
                      </a:endParaRPr>
                    </a:p>
                  </xdr:txBody>
                </xdr:sp>
                <xdr:sp macro="" textlink="">
                  <xdr:nvSpPr>
                    <xdr:cNvPr id="131" name="CuadroTexto 130">
                      <a:extLst>
                        <a:ext uri="{FF2B5EF4-FFF2-40B4-BE49-F238E27FC236}">
                          <a16:creationId xmlns:a16="http://schemas.microsoft.com/office/drawing/2014/main" id="{00000000-0008-0000-0A00-0000F7010000}"/>
                        </a:ext>
                      </a:extLst>
                    </xdr:cNvPr>
                    <xdr:cNvSpPr txBox="1"/>
                  </xdr:nvSpPr>
                  <xdr:spPr>
                    <a:xfrm>
                      <a:off x="6452743" y="143205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9" name="Grupo 108">
                  <a:extLst>
                    <a:ext uri="{FF2B5EF4-FFF2-40B4-BE49-F238E27FC236}">
                      <a16:creationId xmlns:a16="http://schemas.microsoft.com/office/drawing/2014/main" id="{00000000-0008-0000-0A00-0000FC010000}"/>
                    </a:ext>
                  </a:extLst>
                </xdr:cNvPr>
                <xdr:cNvGrpSpPr/>
              </xdr:nvGrpSpPr>
              <xdr:grpSpPr>
                <a:xfrm>
                  <a:off x="7113849" y="13876538"/>
                  <a:ext cx="2116806" cy="725301"/>
                  <a:chOff x="7113849" y="13876538"/>
                  <a:chExt cx="2116806" cy="725301"/>
                </a:xfrm>
              </xdr:grpSpPr>
              <xdr:grpSp>
                <xdr:nvGrpSpPr>
                  <xdr:cNvPr id="119" name="Grupo 118">
                    <a:extLst>
                      <a:ext uri="{FF2B5EF4-FFF2-40B4-BE49-F238E27FC236}">
                        <a16:creationId xmlns:a16="http://schemas.microsoft.com/office/drawing/2014/main" id="{00000000-0008-0000-0A00-000031000000}"/>
                      </a:ext>
                    </a:extLst>
                  </xdr:cNvPr>
                  <xdr:cNvGrpSpPr/>
                </xdr:nvGrpSpPr>
                <xdr:grpSpPr>
                  <a:xfrm>
                    <a:off x="7113849" y="13876538"/>
                    <a:ext cx="2116806" cy="720000"/>
                    <a:chOff x="28670251" y="2081892"/>
                    <a:chExt cx="2000250" cy="585107"/>
                  </a:xfrm>
                </xdr:grpSpPr>
                <xdr:sp macro="" textlink="">
                  <xdr:nvSpPr>
                    <xdr:cNvPr id="124" name="Cheurón 123">
                      <a:extLst>
                        <a:ext uri="{FF2B5EF4-FFF2-40B4-BE49-F238E27FC236}">
                          <a16:creationId xmlns:a16="http://schemas.microsoft.com/office/drawing/2014/main" id="{00000000-0008-0000-0A00-000032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25" name="CuadroTexto 124">
                      <a:extLst>
                        <a:ext uri="{FF2B5EF4-FFF2-40B4-BE49-F238E27FC236}">
                          <a16:creationId xmlns:a16="http://schemas.microsoft.com/office/drawing/2014/main" id="{00000000-0008-0000-0A00-000033000000}"/>
                        </a:ext>
                      </a:extLst>
                    </xdr:cNvPr>
                    <xdr:cNvSpPr txBox="1"/>
                  </xdr:nvSpPr>
                  <xdr:spPr>
                    <a:xfrm>
                      <a:off x="28928089" y="2122191"/>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L$18">
                  <xdr:nvSpPr>
                    <xdr:cNvPr id="126" name="Rectángulo redondeado 125">
                      <a:extLst>
                        <a:ext uri="{FF2B5EF4-FFF2-40B4-BE49-F238E27FC236}">
                          <a16:creationId xmlns:a16="http://schemas.microsoft.com/office/drawing/2014/main" id="{00000000-0008-0000-0A00-000034000000}"/>
                        </a:ext>
                      </a:extLst>
                    </xdr:cNvPr>
                    <xdr:cNvSpPr/>
                  </xdr:nvSpPr>
                  <xdr:spPr>
                    <a:xfrm>
                      <a:off x="29785163"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0EE6F0-D2BE-4C04-9381-5D073D7487E3}"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20" name="Grupo 119">
                    <a:extLst>
                      <a:ext uri="{FF2B5EF4-FFF2-40B4-BE49-F238E27FC236}">
                        <a16:creationId xmlns:a16="http://schemas.microsoft.com/office/drawing/2014/main" id="{00000000-0008-0000-0A00-0000FB010000}"/>
                      </a:ext>
                    </a:extLst>
                  </xdr:cNvPr>
                  <xdr:cNvGrpSpPr/>
                </xdr:nvGrpSpPr>
                <xdr:grpSpPr>
                  <a:xfrm>
                    <a:off x="8340423" y="14317149"/>
                    <a:ext cx="770852" cy="284690"/>
                    <a:chOff x="8340423" y="14317149"/>
                    <a:chExt cx="770852" cy="284690"/>
                  </a:xfrm>
                </xdr:grpSpPr>
                <xdr:sp macro="" textlink="$K$18">
                  <xdr:nvSpPr>
                    <xdr:cNvPr id="121" name="Rectángulo 120">
                      <a:extLst>
                        <a:ext uri="{FF2B5EF4-FFF2-40B4-BE49-F238E27FC236}">
                          <a16:creationId xmlns:a16="http://schemas.microsoft.com/office/drawing/2014/main" id="{00000000-0008-0000-0A00-00004E010000}"/>
                        </a:ext>
                      </a:extLst>
                    </xdr:cNvPr>
                    <xdr:cNvSpPr/>
                  </xdr:nvSpPr>
                  <xdr:spPr>
                    <a:xfrm>
                      <a:off x="8376562"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D8FD84E-6AD1-441D-9077-365A42E29A77}"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18">
                  <xdr:nvSpPr>
                    <xdr:cNvPr id="122" name="Rectángulo 121">
                      <a:extLst>
                        <a:ext uri="{FF2B5EF4-FFF2-40B4-BE49-F238E27FC236}">
                          <a16:creationId xmlns:a16="http://schemas.microsoft.com/office/drawing/2014/main" id="{00000000-0008-0000-0A00-00004F010000}"/>
                        </a:ext>
                      </a:extLst>
                    </xdr:cNvPr>
                    <xdr:cNvSpPr/>
                  </xdr:nvSpPr>
                  <xdr:spPr>
                    <a:xfrm>
                      <a:off x="8652656"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7161BF-A4B8-46D4-816A-C00E0D05AEA2}"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
                  <xdr:nvSpPr>
                    <xdr:cNvPr id="123" name="CuadroTexto 122">
                      <a:extLst>
                        <a:ext uri="{FF2B5EF4-FFF2-40B4-BE49-F238E27FC236}">
                          <a16:creationId xmlns:a16="http://schemas.microsoft.com/office/drawing/2014/main" id="{00000000-0008-0000-0A00-0000FA010000}"/>
                        </a:ext>
                      </a:extLst>
                    </xdr:cNvPr>
                    <xdr:cNvSpPr txBox="1"/>
                  </xdr:nvSpPr>
                  <xdr:spPr>
                    <a:xfrm>
                      <a:off x="8340423" y="143171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10" name="Grupo 109">
                  <a:extLst>
                    <a:ext uri="{FF2B5EF4-FFF2-40B4-BE49-F238E27FC236}">
                      <a16:creationId xmlns:a16="http://schemas.microsoft.com/office/drawing/2014/main" id="{00000000-0008-0000-0A00-0000FF010000}"/>
                    </a:ext>
                  </a:extLst>
                </xdr:cNvPr>
                <xdr:cNvGrpSpPr/>
              </xdr:nvGrpSpPr>
              <xdr:grpSpPr>
                <a:xfrm>
                  <a:off x="9030232" y="13879260"/>
                  <a:ext cx="2116806" cy="725302"/>
                  <a:chOff x="9030232" y="13879260"/>
                  <a:chExt cx="2116806" cy="725302"/>
                </a:xfrm>
              </xdr:grpSpPr>
              <xdr:grpSp>
                <xdr:nvGrpSpPr>
                  <xdr:cNvPr id="111" name="Grupo 110">
                    <a:extLst>
                      <a:ext uri="{FF2B5EF4-FFF2-40B4-BE49-F238E27FC236}">
                        <a16:creationId xmlns:a16="http://schemas.microsoft.com/office/drawing/2014/main" id="{00000000-0008-0000-0A00-000035000000}"/>
                      </a:ext>
                    </a:extLst>
                  </xdr:cNvPr>
                  <xdr:cNvGrpSpPr/>
                </xdr:nvGrpSpPr>
                <xdr:grpSpPr>
                  <a:xfrm>
                    <a:off x="9030232" y="13879260"/>
                    <a:ext cx="2116806" cy="720000"/>
                    <a:chOff x="28678435" y="2081892"/>
                    <a:chExt cx="2000250" cy="585107"/>
                  </a:xfrm>
                </xdr:grpSpPr>
                <xdr:sp macro="" textlink="">
                  <xdr:nvSpPr>
                    <xdr:cNvPr id="116" name="Cheurón 115">
                      <a:extLst>
                        <a:ext uri="{FF2B5EF4-FFF2-40B4-BE49-F238E27FC236}">
                          <a16:creationId xmlns:a16="http://schemas.microsoft.com/office/drawing/2014/main" id="{00000000-0008-0000-0A00-000036000000}"/>
                        </a:ext>
                      </a:extLst>
                    </xdr:cNvPr>
                    <xdr:cNvSpPr/>
                  </xdr:nvSpPr>
                  <xdr:spPr>
                    <a:xfrm>
                      <a:off x="28678435"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17" name="CuadroTexto 116">
                      <a:extLst>
                        <a:ext uri="{FF2B5EF4-FFF2-40B4-BE49-F238E27FC236}">
                          <a16:creationId xmlns:a16="http://schemas.microsoft.com/office/drawing/2014/main" id="{00000000-0008-0000-0A00-000037000000}"/>
                        </a:ext>
                      </a:extLst>
                    </xdr:cNvPr>
                    <xdr:cNvSpPr txBox="1"/>
                  </xdr:nvSpPr>
                  <xdr:spPr>
                    <a:xfrm>
                      <a:off x="28858849"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L$19">
                  <xdr:nvSpPr>
                    <xdr:cNvPr id="118" name="Rectángulo redondeado 117">
                      <a:extLst>
                        <a:ext uri="{FF2B5EF4-FFF2-40B4-BE49-F238E27FC236}">
                          <a16:creationId xmlns:a16="http://schemas.microsoft.com/office/drawing/2014/main" id="{00000000-0008-0000-0A00-000038000000}"/>
                        </a:ext>
                      </a:extLst>
                    </xdr:cNvPr>
                    <xdr:cNvSpPr/>
                  </xdr:nvSpPr>
                  <xdr:spPr>
                    <a:xfrm>
                      <a:off x="29785164"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DB9339-8C9F-4440-BD2D-DC144B064370}" type="TxLink">
                        <a:rPr lang="en-US" sz="1600" b="1" i="0" u="none" strike="noStrike">
                          <a:solidFill>
                            <a:srgbClr val="FFFF00"/>
                          </a:solidFill>
                          <a:latin typeface="Century Gothic"/>
                        </a:rPr>
                        <a:pPr algn="ctr"/>
                        <a:t>50,0%</a:t>
                      </a:fld>
                      <a:endParaRPr lang="es-CO" sz="1800">
                        <a:solidFill>
                          <a:srgbClr val="FFFF00"/>
                        </a:solidFill>
                      </a:endParaRPr>
                    </a:p>
                  </xdr:txBody>
                </xdr:sp>
              </xdr:grpSp>
              <xdr:grpSp>
                <xdr:nvGrpSpPr>
                  <xdr:cNvPr id="112" name="Grupo 111">
                    <a:extLst>
                      <a:ext uri="{FF2B5EF4-FFF2-40B4-BE49-F238E27FC236}">
                        <a16:creationId xmlns:a16="http://schemas.microsoft.com/office/drawing/2014/main" id="{00000000-0008-0000-0A00-0000FE010000}"/>
                      </a:ext>
                    </a:extLst>
                  </xdr:cNvPr>
                  <xdr:cNvGrpSpPr/>
                </xdr:nvGrpSpPr>
                <xdr:grpSpPr>
                  <a:xfrm>
                    <a:off x="10235530" y="14325652"/>
                    <a:ext cx="770852" cy="278910"/>
                    <a:chOff x="10235530" y="14325652"/>
                    <a:chExt cx="770852" cy="278910"/>
                  </a:xfrm>
                </xdr:grpSpPr>
                <xdr:sp macro="" textlink="$K$19">
                  <xdr:nvSpPr>
                    <xdr:cNvPr id="113" name="Rectángulo 112">
                      <a:extLst>
                        <a:ext uri="{FF2B5EF4-FFF2-40B4-BE49-F238E27FC236}">
                          <a16:creationId xmlns:a16="http://schemas.microsoft.com/office/drawing/2014/main" id="{00000000-0008-0000-0A00-000050010000}"/>
                        </a:ext>
                      </a:extLst>
                    </xdr:cNvPr>
                    <xdr:cNvSpPr/>
                  </xdr:nvSpPr>
                  <xdr:spPr>
                    <a:xfrm>
                      <a:off x="10270676" y="1433241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48118A-A432-40D2-A22C-75D499CE9CFD}"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19">
                  <xdr:nvSpPr>
                    <xdr:cNvPr id="114" name="Rectángulo 113">
                      <a:extLst>
                        <a:ext uri="{FF2B5EF4-FFF2-40B4-BE49-F238E27FC236}">
                          <a16:creationId xmlns:a16="http://schemas.microsoft.com/office/drawing/2014/main" id="{00000000-0008-0000-0A00-000051010000}"/>
                        </a:ext>
                      </a:extLst>
                    </xdr:cNvPr>
                    <xdr:cNvSpPr/>
                  </xdr:nvSpPr>
                  <xdr:spPr>
                    <a:xfrm>
                      <a:off x="10538110" y="1433241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86546A1-C646-4F7E-BA1D-86E6CE846338}"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
                  <xdr:nvSpPr>
                    <xdr:cNvPr id="115" name="CuadroTexto 114">
                      <a:extLst>
                        <a:ext uri="{FF2B5EF4-FFF2-40B4-BE49-F238E27FC236}">
                          <a16:creationId xmlns:a16="http://schemas.microsoft.com/office/drawing/2014/main" id="{00000000-0008-0000-0A00-0000FD010000}"/>
                        </a:ext>
                      </a:extLst>
                    </xdr:cNvPr>
                    <xdr:cNvSpPr txBox="1"/>
                  </xdr:nvSpPr>
                  <xdr:spPr>
                    <a:xfrm>
                      <a:off x="10235530" y="1432565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9" name="Grupo 8">
                <a:extLst>
                  <a:ext uri="{FF2B5EF4-FFF2-40B4-BE49-F238E27FC236}">
                    <a16:creationId xmlns:a16="http://schemas.microsoft.com/office/drawing/2014/main" id="{00000000-0008-0000-0A00-00005A000000}"/>
                  </a:ext>
                </a:extLst>
              </xdr:cNvPr>
              <xdr:cNvGrpSpPr/>
            </xdr:nvGrpSpPr>
            <xdr:grpSpPr>
              <a:xfrm>
                <a:off x="387640" y="14857065"/>
                <a:ext cx="10838927" cy="1930216"/>
                <a:chOff x="386443" y="14671682"/>
                <a:chExt cx="10841352" cy="1895629"/>
              </a:xfrm>
            </xdr:grpSpPr>
            <xdr:grpSp>
              <xdr:nvGrpSpPr>
                <xdr:cNvPr id="24" name="Grupo 23">
                  <a:extLst>
                    <a:ext uri="{FF2B5EF4-FFF2-40B4-BE49-F238E27FC236}">
                      <a16:creationId xmlns:a16="http://schemas.microsoft.com/office/drawing/2014/main" id="{00000000-0008-0000-0A00-000078000000}"/>
                    </a:ext>
                  </a:extLst>
                </xdr:cNvPr>
                <xdr:cNvGrpSpPr/>
              </xdr:nvGrpSpPr>
              <xdr:grpSpPr>
                <a:xfrm>
                  <a:off x="386443" y="14956963"/>
                  <a:ext cx="720000" cy="1610348"/>
                  <a:chOff x="27391177" y="8406495"/>
                  <a:chExt cx="720000" cy="1610348"/>
                </a:xfrm>
              </xdr:grpSpPr>
              <xdr:sp macro="" textlink="">
                <xdr:nvSpPr>
                  <xdr:cNvPr id="98" name="Rectángulo 97">
                    <a:extLst>
                      <a:ext uri="{FF2B5EF4-FFF2-40B4-BE49-F238E27FC236}">
                        <a16:creationId xmlns:a16="http://schemas.microsoft.com/office/drawing/2014/main" id="{00000000-0008-0000-0A00-000085000000}"/>
                      </a:ext>
                    </a:extLst>
                  </xdr:cNvPr>
                  <xdr:cNvSpPr/>
                </xdr:nvSpPr>
                <xdr:spPr>
                  <a:xfrm>
                    <a:off x="27391177" y="8450034"/>
                    <a:ext cx="720000"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9" name="CuadroTexto 98">
                    <a:extLst>
                      <a:ext uri="{FF2B5EF4-FFF2-40B4-BE49-F238E27FC236}">
                        <a16:creationId xmlns:a16="http://schemas.microsoft.com/office/drawing/2014/main" id="{00000000-0008-0000-0A00-000086000000}"/>
                      </a:ext>
                    </a:extLst>
                  </xdr:cNvPr>
                  <xdr:cNvSpPr txBox="1"/>
                </xdr:nvSpPr>
                <xdr:spPr>
                  <a:xfrm rot="16200000">
                    <a:off x="26930701"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25" name="Flecha abajo 24">
                  <a:extLst>
                    <a:ext uri="{FF2B5EF4-FFF2-40B4-BE49-F238E27FC236}">
                      <a16:creationId xmlns:a16="http://schemas.microsoft.com/office/drawing/2014/main" id="{00000000-0008-0000-0A00-00007C000000}"/>
                    </a:ext>
                  </a:extLst>
                </xdr:cNvPr>
                <xdr:cNvSpPr/>
              </xdr:nvSpPr>
              <xdr:spPr>
                <a:xfrm rot="10800000">
                  <a:off x="5788521" y="14671682"/>
                  <a:ext cx="468000" cy="288000"/>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6" name="Grupo 25">
                  <a:extLst>
                    <a:ext uri="{FF2B5EF4-FFF2-40B4-BE49-F238E27FC236}">
                      <a16:creationId xmlns:a16="http://schemas.microsoft.com/office/drawing/2014/main" id="{00000000-0008-0000-0A00-000041000000}"/>
                    </a:ext>
                  </a:extLst>
                </xdr:cNvPr>
                <xdr:cNvGrpSpPr/>
              </xdr:nvGrpSpPr>
              <xdr:grpSpPr>
                <a:xfrm>
                  <a:off x="1232807" y="15003214"/>
                  <a:ext cx="2160000" cy="747069"/>
                  <a:chOff x="1232807" y="15003214"/>
                  <a:chExt cx="2160000" cy="747069"/>
                </a:xfrm>
              </xdr:grpSpPr>
              <xdr:grpSp>
                <xdr:nvGrpSpPr>
                  <xdr:cNvPr id="90" name="Grupo 89">
                    <a:extLst>
                      <a:ext uri="{FF2B5EF4-FFF2-40B4-BE49-F238E27FC236}">
                        <a16:creationId xmlns:a16="http://schemas.microsoft.com/office/drawing/2014/main" id="{00000000-0008-0000-0A00-00008A000000}"/>
                      </a:ext>
                    </a:extLst>
                  </xdr:cNvPr>
                  <xdr:cNvGrpSpPr/>
                </xdr:nvGrpSpPr>
                <xdr:grpSpPr>
                  <a:xfrm>
                    <a:off x="1232807" y="15003214"/>
                    <a:ext cx="2160000" cy="726638"/>
                    <a:chOff x="28351843" y="12458683"/>
                    <a:chExt cx="2160000" cy="726638"/>
                  </a:xfrm>
                </xdr:grpSpPr>
                <xdr:sp macro="" textlink="">
                  <xdr:nvSpPr>
                    <xdr:cNvPr id="95" name="Cheurón 94">
                      <a:extLst>
                        <a:ext uri="{FF2B5EF4-FFF2-40B4-BE49-F238E27FC236}">
                          <a16:creationId xmlns:a16="http://schemas.microsoft.com/office/drawing/2014/main" id="{00000000-0008-0000-0A00-000087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6" name="CuadroTexto 95">
                      <a:extLst>
                        <a:ext uri="{FF2B5EF4-FFF2-40B4-BE49-F238E27FC236}">
                          <a16:creationId xmlns:a16="http://schemas.microsoft.com/office/drawing/2014/main" id="{00000000-0008-0000-0A00-00008800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L$20">
                  <xdr:nvSpPr>
                    <xdr:cNvPr id="97" name="Rectángulo redondeado 96">
                      <a:extLst>
                        <a:ext uri="{FF2B5EF4-FFF2-40B4-BE49-F238E27FC236}">
                          <a16:creationId xmlns:a16="http://schemas.microsoft.com/office/drawing/2014/main" id="{00000000-0008-0000-0A00-000089000000}"/>
                        </a:ext>
                      </a:extLst>
                    </xdr:cNvPr>
                    <xdr:cNvSpPr/>
                  </xdr:nvSpPr>
                  <xdr:spPr>
                    <a:xfrm>
                      <a:off x="29557264" y="1257903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7B9DA45-1564-4925-8E3C-F1C11C6F788C}" type="TxLink">
                        <a:rPr lang="en-US" sz="1600" b="1" i="0" u="none" strike="noStrike">
                          <a:solidFill>
                            <a:srgbClr val="FFFF00"/>
                          </a:solidFill>
                          <a:latin typeface="Century Gothic"/>
                        </a:rPr>
                        <a:pPr algn="ctr"/>
                        <a:t>80,0%</a:t>
                      </a:fld>
                      <a:endParaRPr lang="es-CO" sz="2000">
                        <a:solidFill>
                          <a:srgbClr val="FFFF00"/>
                        </a:solidFill>
                      </a:endParaRPr>
                    </a:p>
                  </xdr:txBody>
                </xdr:sp>
              </xdr:grpSp>
              <xdr:grpSp>
                <xdr:nvGrpSpPr>
                  <xdr:cNvPr id="91" name="Grupo 90">
                    <a:extLst>
                      <a:ext uri="{FF2B5EF4-FFF2-40B4-BE49-F238E27FC236}">
                        <a16:creationId xmlns:a16="http://schemas.microsoft.com/office/drawing/2014/main" id="{00000000-0008-0000-0A00-000040000000}"/>
                      </a:ext>
                    </a:extLst>
                  </xdr:cNvPr>
                  <xdr:cNvGrpSpPr/>
                </xdr:nvGrpSpPr>
                <xdr:grpSpPr>
                  <a:xfrm>
                    <a:off x="2474511" y="15468653"/>
                    <a:ext cx="770852" cy="281630"/>
                    <a:chOff x="2474511" y="15468653"/>
                    <a:chExt cx="770852" cy="281630"/>
                  </a:xfrm>
                </xdr:grpSpPr>
                <xdr:sp macro="" textlink="$K$20">
                  <xdr:nvSpPr>
                    <xdr:cNvPr id="92" name="Rectángulo 91">
                      <a:extLst>
                        <a:ext uri="{FF2B5EF4-FFF2-40B4-BE49-F238E27FC236}">
                          <a16:creationId xmlns:a16="http://schemas.microsoft.com/office/drawing/2014/main" id="{00000000-0008-0000-0A00-000052010000}"/>
                        </a:ext>
                      </a:extLst>
                    </xdr:cNvPr>
                    <xdr:cNvSpPr/>
                  </xdr:nvSpPr>
                  <xdr:spPr>
                    <a:xfrm>
                      <a:off x="2490114" y="15478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6A62B81-4455-4CFB-8D9D-AE6C5702C82E}"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0">
                  <xdr:nvSpPr>
                    <xdr:cNvPr id="93" name="Rectángulo 92">
                      <a:extLst>
                        <a:ext uri="{FF2B5EF4-FFF2-40B4-BE49-F238E27FC236}">
                          <a16:creationId xmlns:a16="http://schemas.microsoft.com/office/drawing/2014/main" id="{00000000-0008-0000-0A00-000053010000}"/>
                        </a:ext>
                      </a:extLst>
                    </xdr:cNvPr>
                    <xdr:cNvSpPr/>
                  </xdr:nvSpPr>
                  <xdr:spPr>
                    <a:xfrm>
                      <a:off x="2766208" y="15478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2BC07F-426B-4653-907F-59D5C6316511}" type="TxLink">
                        <a:rPr lang="en-US" sz="1100" b="1" i="0" u="none" strike="noStrike">
                          <a:solidFill>
                            <a:srgbClr val="FFFF00"/>
                          </a:solidFill>
                          <a:latin typeface="Century Gothic"/>
                        </a:rPr>
                        <a:pPr algn="ctr"/>
                        <a:t>5</a:t>
                      </a:fld>
                      <a:endParaRPr lang="es-CO" sz="4400" b="1">
                        <a:solidFill>
                          <a:srgbClr val="FFFF00"/>
                        </a:solidFill>
                      </a:endParaRPr>
                    </a:p>
                  </xdr:txBody>
                </xdr:sp>
                <xdr:sp macro="" textlink="">
                  <xdr:nvSpPr>
                    <xdr:cNvPr id="94" name="CuadroTexto 93">
                      <a:extLst>
                        <a:ext uri="{FF2B5EF4-FFF2-40B4-BE49-F238E27FC236}">
                          <a16:creationId xmlns:a16="http://schemas.microsoft.com/office/drawing/2014/main" id="{00000000-0008-0000-0A00-000000020000}"/>
                        </a:ext>
                      </a:extLst>
                    </xdr:cNvPr>
                    <xdr:cNvSpPr txBox="1"/>
                  </xdr:nvSpPr>
                  <xdr:spPr>
                    <a:xfrm>
                      <a:off x="2474511" y="154686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27" name="Grupo 26">
                  <a:extLst>
                    <a:ext uri="{FF2B5EF4-FFF2-40B4-BE49-F238E27FC236}">
                      <a16:creationId xmlns:a16="http://schemas.microsoft.com/office/drawing/2014/main" id="{00000000-0008-0000-0A00-000044000000}"/>
                    </a:ext>
                  </a:extLst>
                </xdr:cNvPr>
                <xdr:cNvGrpSpPr/>
              </xdr:nvGrpSpPr>
              <xdr:grpSpPr>
                <a:xfrm>
                  <a:off x="3181350" y="15005937"/>
                  <a:ext cx="2160000" cy="760676"/>
                  <a:chOff x="3181350" y="15005937"/>
                  <a:chExt cx="2160000" cy="760676"/>
                </a:xfrm>
              </xdr:grpSpPr>
              <xdr:grpSp>
                <xdr:nvGrpSpPr>
                  <xdr:cNvPr id="82" name="Grupo 81">
                    <a:extLst>
                      <a:ext uri="{FF2B5EF4-FFF2-40B4-BE49-F238E27FC236}">
                        <a16:creationId xmlns:a16="http://schemas.microsoft.com/office/drawing/2014/main" id="{00000000-0008-0000-0A00-00008B000000}"/>
                      </a:ext>
                    </a:extLst>
                  </xdr:cNvPr>
                  <xdr:cNvGrpSpPr/>
                </xdr:nvGrpSpPr>
                <xdr:grpSpPr>
                  <a:xfrm>
                    <a:off x="3181350" y="15005937"/>
                    <a:ext cx="2160000" cy="726638"/>
                    <a:chOff x="28351843" y="12458683"/>
                    <a:chExt cx="2160000" cy="726638"/>
                  </a:xfrm>
                </xdr:grpSpPr>
                <xdr:sp macro="" textlink="">
                  <xdr:nvSpPr>
                    <xdr:cNvPr id="87" name="Cheurón 86">
                      <a:extLst>
                        <a:ext uri="{FF2B5EF4-FFF2-40B4-BE49-F238E27FC236}">
                          <a16:creationId xmlns:a16="http://schemas.microsoft.com/office/drawing/2014/main" id="{00000000-0008-0000-0A00-00008C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8" name="CuadroTexto 87">
                      <a:extLst>
                        <a:ext uri="{FF2B5EF4-FFF2-40B4-BE49-F238E27FC236}">
                          <a16:creationId xmlns:a16="http://schemas.microsoft.com/office/drawing/2014/main" id="{00000000-0008-0000-0A00-00008D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L$21">
                  <xdr:nvSpPr>
                    <xdr:cNvPr id="89" name="Rectángulo redondeado 88">
                      <a:extLst>
                        <a:ext uri="{FF2B5EF4-FFF2-40B4-BE49-F238E27FC236}">
                          <a16:creationId xmlns:a16="http://schemas.microsoft.com/office/drawing/2014/main" id="{00000000-0008-0000-0A00-00008E000000}"/>
                        </a:ext>
                      </a:extLst>
                    </xdr:cNvPr>
                    <xdr:cNvSpPr/>
                  </xdr:nvSpPr>
                  <xdr:spPr>
                    <a:xfrm>
                      <a:off x="29557264"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DC79ED9-21C8-498C-A82F-97D43F395171}" type="TxLink">
                        <a:rPr lang="en-US" sz="1600" b="1" i="0" u="none" strike="noStrike">
                          <a:solidFill>
                            <a:srgbClr val="FFFF00"/>
                          </a:solidFill>
                          <a:latin typeface="Century Gothic"/>
                        </a:rPr>
                        <a:pPr algn="ctr"/>
                        <a:t>22,2%</a:t>
                      </a:fld>
                      <a:endParaRPr lang="es-CO" sz="2800">
                        <a:solidFill>
                          <a:srgbClr val="FFFF00"/>
                        </a:solidFill>
                      </a:endParaRPr>
                    </a:p>
                  </xdr:txBody>
                </xdr:sp>
              </xdr:grpSp>
              <xdr:grpSp>
                <xdr:nvGrpSpPr>
                  <xdr:cNvPr id="83" name="Grupo 82">
                    <a:extLst>
                      <a:ext uri="{FF2B5EF4-FFF2-40B4-BE49-F238E27FC236}">
                        <a16:creationId xmlns:a16="http://schemas.microsoft.com/office/drawing/2014/main" id="{00000000-0008-0000-0A00-000042000000}"/>
                      </a:ext>
                    </a:extLst>
                  </xdr:cNvPr>
                  <xdr:cNvGrpSpPr/>
                </xdr:nvGrpSpPr>
                <xdr:grpSpPr>
                  <a:xfrm>
                    <a:off x="4435171" y="15473755"/>
                    <a:ext cx="770852" cy="292858"/>
                    <a:chOff x="4435171" y="15473755"/>
                    <a:chExt cx="770852" cy="292858"/>
                  </a:xfrm>
                </xdr:grpSpPr>
                <xdr:sp macro="" textlink="$K$21">
                  <xdr:nvSpPr>
                    <xdr:cNvPr id="84" name="Rectángulo 83">
                      <a:extLst>
                        <a:ext uri="{FF2B5EF4-FFF2-40B4-BE49-F238E27FC236}">
                          <a16:creationId xmlns:a16="http://schemas.microsoft.com/office/drawing/2014/main" id="{00000000-0008-0000-0A00-000054010000}"/>
                        </a:ext>
                      </a:extLst>
                    </xdr:cNvPr>
                    <xdr:cNvSpPr/>
                  </xdr:nvSpPr>
                  <xdr:spPr>
                    <a:xfrm>
                      <a:off x="4465868" y="1549447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F91F8C-D466-485E-AAA4-2C228A81F484}"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1">
                  <xdr:nvSpPr>
                    <xdr:cNvPr id="85" name="Rectángulo 84">
                      <a:extLst>
                        <a:ext uri="{FF2B5EF4-FFF2-40B4-BE49-F238E27FC236}">
                          <a16:creationId xmlns:a16="http://schemas.microsoft.com/office/drawing/2014/main" id="{00000000-0008-0000-0A00-000055010000}"/>
                        </a:ext>
                      </a:extLst>
                    </xdr:cNvPr>
                    <xdr:cNvSpPr/>
                  </xdr:nvSpPr>
                  <xdr:spPr>
                    <a:xfrm>
                      <a:off x="4728356" y="1549447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DEDAC5-71CE-4B1F-959E-A434CDEE9909}" type="TxLink">
                        <a:rPr lang="en-US" sz="1100" b="1" i="0" u="none" strike="noStrike">
                          <a:solidFill>
                            <a:srgbClr val="FFFF00"/>
                          </a:solidFill>
                          <a:latin typeface="Century Gothic"/>
                        </a:rPr>
                        <a:pPr algn="ctr"/>
                        <a:t>18</a:t>
                      </a:fld>
                      <a:endParaRPr lang="es-CO" sz="4400" b="1">
                        <a:solidFill>
                          <a:srgbClr val="FFFF00"/>
                        </a:solidFill>
                      </a:endParaRPr>
                    </a:p>
                  </xdr:txBody>
                </xdr:sp>
                <xdr:sp macro="" textlink="">
                  <xdr:nvSpPr>
                    <xdr:cNvPr id="86" name="CuadroTexto 85">
                      <a:extLst>
                        <a:ext uri="{FF2B5EF4-FFF2-40B4-BE49-F238E27FC236}">
                          <a16:creationId xmlns:a16="http://schemas.microsoft.com/office/drawing/2014/main" id="{00000000-0008-0000-0A00-000001020000}"/>
                        </a:ext>
                      </a:extLst>
                    </xdr:cNvPr>
                    <xdr:cNvSpPr txBox="1"/>
                  </xdr:nvSpPr>
                  <xdr:spPr>
                    <a:xfrm>
                      <a:off x="4435171" y="154737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28" name="Grupo 27">
                  <a:extLst>
                    <a:ext uri="{FF2B5EF4-FFF2-40B4-BE49-F238E27FC236}">
                      <a16:creationId xmlns:a16="http://schemas.microsoft.com/office/drawing/2014/main" id="{00000000-0008-0000-0A00-000046000000}"/>
                    </a:ext>
                  </a:extLst>
                </xdr:cNvPr>
                <xdr:cNvGrpSpPr/>
              </xdr:nvGrpSpPr>
              <xdr:grpSpPr>
                <a:xfrm>
                  <a:off x="5143494" y="15008660"/>
                  <a:ext cx="2195849" cy="760676"/>
                  <a:chOff x="5143494" y="15008660"/>
                  <a:chExt cx="2195849" cy="760676"/>
                </a:xfrm>
              </xdr:grpSpPr>
              <xdr:grpSp>
                <xdr:nvGrpSpPr>
                  <xdr:cNvPr id="74" name="Grupo 73">
                    <a:extLst>
                      <a:ext uri="{FF2B5EF4-FFF2-40B4-BE49-F238E27FC236}">
                        <a16:creationId xmlns:a16="http://schemas.microsoft.com/office/drawing/2014/main" id="{00000000-0008-0000-0A00-00008F000000}"/>
                      </a:ext>
                    </a:extLst>
                  </xdr:cNvPr>
                  <xdr:cNvGrpSpPr/>
                </xdr:nvGrpSpPr>
                <xdr:grpSpPr>
                  <a:xfrm>
                    <a:off x="5143494" y="15008660"/>
                    <a:ext cx="2195849" cy="726638"/>
                    <a:chOff x="28351843" y="12458683"/>
                    <a:chExt cx="2195849" cy="726638"/>
                  </a:xfrm>
                </xdr:grpSpPr>
                <xdr:sp macro="" textlink="">
                  <xdr:nvSpPr>
                    <xdr:cNvPr id="79" name="Cheurón 78">
                      <a:extLst>
                        <a:ext uri="{FF2B5EF4-FFF2-40B4-BE49-F238E27FC236}">
                          <a16:creationId xmlns:a16="http://schemas.microsoft.com/office/drawing/2014/main" id="{00000000-0008-0000-0A00-000090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0" name="CuadroTexto 79">
                      <a:extLst>
                        <a:ext uri="{FF2B5EF4-FFF2-40B4-BE49-F238E27FC236}">
                          <a16:creationId xmlns:a16="http://schemas.microsoft.com/office/drawing/2014/main" id="{00000000-0008-0000-0A00-000091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L$22">
                  <xdr:nvSpPr>
                    <xdr:cNvPr id="81" name="Rectángulo redondeado 80">
                      <a:extLst>
                        <a:ext uri="{FF2B5EF4-FFF2-40B4-BE49-F238E27FC236}">
                          <a16:creationId xmlns:a16="http://schemas.microsoft.com/office/drawing/2014/main" id="{00000000-0008-0000-0A00-000092000000}"/>
                        </a:ext>
                      </a:extLst>
                    </xdr:cNvPr>
                    <xdr:cNvSpPr/>
                  </xdr:nvSpPr>
                  <xdr:spPr>
                    <a:xfrm>
                      <a:off x="29611692"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409F841-DDAC-4C2A-9E8A-BD2C3A4657E2}" type="TxLink">
                        <a:rPr lang="en-US" sz="1600" b="1" i="0" u="none" strike="noStrike">
                          <a:solidFill>
                            <a:srgbClr val="FFFF00"/>
                          </a:solidFill>
                          <a:latin typeface="Century Gothic"/>
                        </a:rPr>
                        <a:pPr algn="ctr"/>
                        <a:t>40,0%</a:t>
                      </a:fld>
                      <a:endParaRPr lang="es-CO" sz="3600">
                        <a:solidFill>
                          <a:srgbClr val="FFFF00"/>
                        </a:solidFill>
                      </a:endParaRPr>
                    </a:p>
                  </xdr:txBody>
                </xdr:sp>
              </xdr:grpSp>
              <xdr:grpSp>
                <xdr:nvGrpSpPr>
                  <xdr:cNvPr id="75" name="Grupo 74">
                    <a:extLst>
                      <a:ext uri="{FF2B5EF4-FFF2-40B4-BE49-F238E27FC236}">
                        <a16:creationId xmlns:a16="http://schemas.microsoft.com/office/drawing/2014/main" id="{00000000-0008-0000-0A00-000045000000}"/>
                      </a:ext>
                    </a:extLst>
                  </xdr:cNvPr>
                  <xdr:cNvGrpSpPr/>
                </xdr:nvGrpSpPr>
                <xdr:grpSpPr>
                  <a:xfrm>
                    <a:off x="6408208" y="15490762"/>
                    <a:ext cx="770852" cy="278574"/>
                    <a:chOff x="6435422" y="15490762"/>
                    <a:chExt cx="770852" cy="278574"/>
                  </a:xfrm>
                </xdr:grpSpPr>
                <xdr:sp macro="" textlink="$K$22">
                  <xdr:nvSpPr>
                    <xdr:cNvPr id="76" name="Rectángulo 75">
                      <a:extLst>
                        <a:ext uri="{FF2B5EF4-FFF2-40B4-BE49-F238E27FC236}">
                          <a16:creationId xmlns:a16="http://schemas.microsoft.com/office/drawing/2014/main" id="{00000000-0008-0000-0A00-000056010000}"/>
                        </a:ext>
                      </a:extLst>
                    </xdr:cNvPr>
                    <xdr:cNvSpPr/>
                  </xdr:nvSpPr>
                  <xdr:spPr>
                    <a:xfrm>
                      <a:off x="6468837" y="1549719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7804FE1-8E3C-44E1-AE68-FA30E05894E7}"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22">
                  <xdr:nvSpPr>
                    <xdr:cNvPr id="77" name="Rectángulo 76">
                      <a:extLst>
                        <a:ext uri="{FF2B5EF4-FFF2-40B4-BE49-F238E27FC236}">
                          <a16:creationId xmlns:a16="http://schemas.microsoft.com/office/drawing/2014/main" id="{00000000-0008-0000-0A00-000057010000}"/>
                        </a:ext>
                      </a:extLst>
                    </xdr:cNvPr>
                    <xdr:cNvSpPr/>
                  </xdr:nvSpPr>
                  <xdr:spPr>
                    <a:xfrm>
                      <a:off x="6744932" y="1549719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312D0E3-57BF-4878-A224-EFCDD0B2E595}" type="TxLink">
                        <a:rPr lang="en-US" sz="1100" b="1" i="0" u="none" strike="noStrike">
                          <a:solidFill>
                            <a:srgbClr val="FFFF00"/>
                          </a:solidFill>
                          <a:latin typeface="Century Gothic"/>
                        </a:rPr>
                        <a:pPr algn="ctr"/>
                        <a:t>5</a:t>
                      </a:fld>
                      <a:endParaRPr lang="es-CO" sz="4400" b="1">
                        <a:solidFill>
                          <a:srgbClr val="FFFF00"/>
                        </a:solidFill>
                      </a:endParaRPr>
                    </a:p>
                  </xdr:txBody>
                </xdr:sp>
                <xdr:sp macro="" textlink="">
                  <xdr:nvSpPr>
                    <xdr:cNvPr id="78" name="CuadroTexto 77">
                      <a:extLst>
                        <a:ext uri="{FF2B5EF4-FFF2-40B4-BE49-F238E27FC236}">
                          <a16:creationId xmlns:a16="http://schemas.microsoft.com/office/drawing/2014/main" id="{00000000-0008-0000-0A00-000002020000}"/>
                        </a:ext>
                      </a:extLst>
                    </xdr:cNvPr>
                    <xdr:cNvSpPr txBox="1"/>
                  </xdr:nvSpPr>
                  <xdr:spPr>
                    <a:xfrm>
                      <a:off x="6435422" y="1549076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29" name="Grupo 28">
                  <a:extLst>
                    <a:ext uri="{FF2B5EF4-FFF2-40B4-BE49-F238E27FC236}">
                      <a16:creationId xmlns:a16="http://schemas.microsoft.com/office/drawing/2014/main" id="{00000000-0008-0000-0A00-00004B000000}"/>
                    </a:ext>
                  </a:extLst>
                </xdr:cNvPr>
                <xdr:cNvGrpSpPr/>
              </xdr:nvGrpSpPr>
              <xdr:grpSpPr>
                <a:xfrm>
                  <a:off x="7105645" y="15011383"/>
                  <a:ext cx="2160000" cy="747069"/>
                  <a:chOff x="7105645" y="15011383"/>
                  <a:chExt cx="2160000" cy="747069"/>
                </a:xfrm>
              </xdr:grpSpPr>
              <xdr:grpSp>
                <xdr:nvGrpSpPr>
                  <xdr:cNvPr id="66" name="Grupo 65">
                    <a:extLst>
                      <a:ext uri="{FF2B5EF4-FFF2-40B4-BE49-F238E27FC236}">
                        <a16:creationId xmlns:a16="http://schemas.microsoft.com/office/drawing/2014/main" id="{00000000-0008-0000-0A00-000093000000}"/>
                      </a:ext>
                    </a:extLst>
                  </xdr:cNvPr>
                  <xdr:cNvGrpSpPr/>
                </xdr:nvGrpSpPr>
                <xdr:grpSpPr>
                  <a:xfrm>
                    <a:off x="7105645" y="15011383"/>
                    <a:ext cx="2160000" cy="726638"/>
                    <a:chOff x="28351843" y="12458683"/>
                    <a:chExt cx="2160000" cy="726638"/>
                  </a:xfrm>
                </xdr:grpSpPr>
                <xdr:sp macro="" textlink="">
                  <xdr:nvSpPr>
                    <xdr:cNvPr id="71" name="Cheurón 70">
                      <a:extLst>
                        <a:ext uri="{FF2B5EF4-FFF2-40B4-BE49-F238E27FC236}">
                          <a16:creationId xmlns:a16="http://schemas.microsoft.com/office/drawing/2014/main" id="{00000000-0008-0000-0A00-000094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2" name="CuadroTexto 71">
                      <a:extLst>
                        <a:ext uri="{FF2B5EF4-FFF2-40B4-BE49-F238E27FC236}">
                          <a16:creationId xmlns:a16="http://schemas.microsoft.com/office/drawing/2014/main" id="{00000000-0008-0000-0A00-000095000000}"/>
                        </a:ext>
                      </a:extLst>
                    </xdr:cNvPr>
                    <xdr:cNvSpPr txBox="1"/>
                  </xdr:nvSpPr>
                  <xdr:spPr>
                    <a:xfrm>
                      <a:off x="284966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L$23">
                  <xdr:nvSpPr>
                    <xdr:cNvPr id="73" name="Rectángulo redondeado 72">
                      <a:extLst>
                        <a:ext uri="{FF2B5EF4-FFF2-40B4-BE49-F238E27FC236}">
                          <a16:creationId xmlns:a16="http://schemas.microsoft.com/office/drawing/2014/main" id="{00000000-0008-0000-0A00-000096000000}"/>
                        </a:ext>
                      </a:extLst>
                    </xdr:cNvPr>
                    <xdr:cNvSpPr/>
                  </xdr:nvSpPr>
                  <xdr:spPr>
                    <a:xfrm>
                      <a:off x="29570871"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697ABF5-F1C2-4F4D-89EA-8D4544611577}" type="TxLink">
                        <a:rPr lang="en-US" sz="1600" b="1" i="0" u="none" strike="noStrike">
                          <a:solidFill>
                            <a:srgbClr val="FFFF00"/>
                          </a:solidFill>
                          <a:latin typeface="Century Gothic"/>
                        </a:rPr>
                        <a:pPr algn="ctr"/>
                        <a:t>33,3%</a:t>
                      </a:fld>
                      <a:endParaRPr lang="es-CO" sz="4400">
                        <a:solidFill>
                          <a:srgbClr val="FFFF00"/>
                        </a:solidFill>
                      </a:endParaRPr>
                    </a:p>
                  </xdr:txBody>
                </xdr:sp>
              </xdr:grpSp>
              <xdr:grpSp>
                <xdr:nvGrpSpPr>
                  <xdr:cNvPr id="67" name="Grupo 66">
                    <a:extLst>
                      <a:ext uri="{FF2B5EF4-FFF2-40B4-BE49-F238E27FC236}">
                        <a16:creationId xmlns:a16="http://schemas.microsoft.com/office/drawing/2014/main" id="{00000000-0008-0000-0A00-000047000000}"/>
                      </a:ext>
                    </a:extLst>
                  </xdr:cNvPr>
                  <xdr:cNvGrpSpPr/>
                </xdr:nvGrpSpPr>
                <xdr:grpSpPr>
                  <a:xfrm>
                    <a:off x="8331760" y="15473756"/>
                    <a:ext cx="770852" cy="284696"/>
                    <a:chOff x="8331760" y="15473756"/>
                    <a:chExt cx="770852" cy="284696"/>
                  </a:xfrm>
                </xdr:grpSpPr>
                <xdr:sp macro="" textlink="$K$23">
                  <xdr:nvSpPr>
                    <xdr:cNvPr id="68" name="Rectángulo 67">
                      <a:extLst>
                        <a:ext uri="{FF2B5EF4-FFF2-40B4-BE49-F238E27FC236}">
                          <a16:creationId xmlns:a16="http://schemas.microsoft.com/office/drawing/2014/main" id="{00000000-0008-0000-0A00-000058010000}"/>
                        </a:ext>
                      </a:extLst>
                    </xdr:cNvPr>
                    <xdr:cNvSpPr/>
                  </xdr:nvSpPr>
                  <xdr:spPr>
                    <a:xfrm>
                      <a:off x="8362953" y="154863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21B05C-139C-477C-86F6-AAC766EC8DC4}"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3">
                  <xdr:nvSpPr>
                    <xdr:cNvPr id="69" name="Rectángulo 68">
                      <a:extLst>
                        <a:ext uri="{FF2B5EF4-FFF2-40B4-BE49-F238E27FC236}">
                          <a16:creationId xmlns:a16="http://schemas.microsoft.com/office/drawing/2014/main" id="{00000000-0008-0000-0A00-000059010000}"/>
                        </a:ext>
                      </a:extLst>
                    </xdr:cNvPr>
                    <xdr:cNvSpPr/>
                  </xdr:nvSpPr>
                  <xdr:spPr>
                    <a:xfrm>
                      <a:off x="8625440" y="154863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AE97232-4C1C-4466-B666-258B123901D3}" type="TxLink">
                        <a:rPr lang="en-US" sz="1100" b="1" i="0" u="none" strike="noStrike">
                          <a:solidFill>
                            <a:srgbClr val="FFFF00"/>
                          </a:solidFill>
                          <a:latin typeface="Century Gothic"/>
                        </a:rPr>
                        <a:pPr algn="ctr"/>
                        <a:t>12</a:t>
                      </a:fld>
                      <a:endParaRPr lang="es-CO" sz="4400" b="1">
                        <a:solidFill>
                          <a:srgbClr val="FFFF00"/>
                        </a:solidFill>
                      </a:endParaRPr>
                    </a:p>
                  </xdr:txBody>
                </xdr:sp>
                <xdr:sp macro="" textlink="">
                  <xdr:nvSpPr>
                    <xdr:cNvPr id="70" name="CuadroTexto 69">
                      <a:extLst>
                        <a:ext uri="{FF2B5EF4-FFF2-40B4-BE49-F238E27FC236}">
                          <a16:creationId xmlns:a16="http://schemas.microsoft.com/office/drawing/2014/main" id="{00000000-0008-0000-0A00-000003020000}"/>
                        </a:ext>
                      </a:extLst>
                    </xdr:cNvPr>
                    <xdr:cNvSpPr txBox="1"/>
                  </xdr:nvSpPr>
                  <xdr:spPr>
                    <a:xfrm>
                      <a:off x="8331760" y="1547375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0" name="Grupo 29">
                  <a:extLst>
                    <a:ext uri="{FF2B5EF4-FFF2-40B4-BE49-F238E27FC236}">
                      <a16:creationId xmlns:a16="http://schemas.microsoft.com/office/drawing/2014/main" id="{00000000-0008-0000-0A00-00004D000000}"/>
                    </a:ext>
                  </a:extLst>
                </xdr:cNvPr>
                <xdr:cNvGrpSpPr/>
              </xdr:nvGrpSpPr>
              <xdr:grpSpPr>
                <a:xfrm>
                  <a:off x="9067795" y="15014106"/>
                  <a:ext cx="2160000" cy="747069"/>
                  <a:chOff x="9067795" y="15014106"/>
                  <a:chExt cx="2160000" cy="747069"/>
                </a:xfrm>
              </xdr:grpSpPr>
              <xdr:grpSp>
                <xdr:nvGrpSpPr>
                  <xdr:cNvPr id="58" name="Grupo 57">
                    <a:extLst>
                      <a:ext uri="{FF2B5EF4-FFF2-40B4-BE49-F238E27FC236}">
                        <a16:creationId xmlns:a16="http://schemas.microsoft.com/office/drawing/2014/main" id="{00000000-0008-0000-0A00-000097000000}"/>
                      </a:ext>
                    </a:extLst>
                  </xdr:cNvPr>
                  <xdr:cNvGrpSpPr/>
                </xdr:nvGrpSpPr>
                <xdr:grpSpPr>
                  <a:xfrm>
                    <a:off x="9067795" y="15014106"/>
                    <a:ext cx="2160000" cy="726638"/>
                    <a:chOff x="28351843" y="12458683"/>
                    <a:chExt cx="2160000" cy="726638"/>
                  </a:xfrm>
                </xdr:grpSpPr>
                <xdr:sp macro="" textlink="">
                  <xdr:nvSpPr>
                    <xdr:cNvPr id="63" name="Cheurón 62">
                      <a:extLst>
                        <a:ext uri="{FF2B5EF4-FFF2-40B4-BE49-F238E27FC236}">
                          <a16:creationId xmlns:a16="http://schemas.microsoft.com/office/drawing/2014/main" id="{00000000-0008-0000-0A00-000098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4" name="CuadroTexto 63">
                      <a:extLst>
                        <a:ext uri="{FF2B5EF4-FFF2-40B4-BE49-F238E27FC236}">
                          <a16:creationId xmlns:a16="http://schemas.microsoft.com/office/drawing/2014/main" id="{00000000-0008-0000-0A00-000099000000}"/>
                        </a:ext>
                      </a:extLst>
                    </xdr:cNvPr>
                    <xdr:cNvSpPr txBox="1"/>
                  </xdr:nvSpPr>
                  <xdr:spPr>
                    <a:xfrm>
                      <a:off x="284966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L$24">
                  <xdr:nvSpPr>
                    <xdr:cNvPr id="65" name="Rectángulo redondeado 64">
                      <a:extLst>
                        <a:ext uri="{FF2B5EF4-FFF2-40B4-BE49-F238E27FC236}">
                          <a16:creationId xmlns:a16="http://schemas.microsoft.com/office/drawing/2014/main" id="{00000000-0008-0000-0A00-00009A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615119F-8672-470D-AE30-0F1041C53ACB}" type="TxLink">
                        <a:rPr lang="en-US" sz="1600" b="1" i="0" u="none" strike="noStrike">
                          <a:solidFill>
                            <a:srgbClr val="FFFF00"/>
                          </a:solidFill>
                          <a:latin typeface="Century Gothic"/>
                        </a:rPr>
                        <a:pPr algn="ctr"/>
                        <a:t>50,0%</a:t>
                      </a:fld>
                      <a:endParaRPr lang="es-CO" sz="5400">
                        <a:solidFill>
                          <a:srgbClr val="FFFF00"/>
                        </a:solidFill>
                      </a:endParaRPr>
                    </a:p>
                  </xdr:txBody>
                </xdr:sp>
              </xdr:grpSp>
              <xdr:grpSp>
                <xdr:nvGrpSpPr>
                  <xdr:cNvPr id="59" name="Grupo 58">
                    <a:extLst>
                      <a:ext uri="{FF2B5EF4-FFF2-40B4-BE49-F238E27FC236}">
                        <a16:creationId xmlns:a16="http://schemas.microsoft.com/office/drawing/2014/main" id="{00000000-0008-0000-0A00-00004C000000}"/>
                      </a:ext>
                    </a:extLst>
                  </xdr:cNvPr>
                  <xdr:cNvGrpSpPr/>
                </xdr:nvGrpSpPr>
                <xdr:grpSpPr>
                  <a:xfrm>
                    <a:off x="10245421" y="15482258"/>
                    <a:ext cx="770852" cy="278917"/>
                    <a:chOff x="10245421" y="15482258"/>
                    <a:chExt cx="770852" cy="278917"/>
                  </a:xfrm>
                </xdr:grpSpPr>
                <xdr:sp macro="" textlink="$K$24">
                  <xdr:nvSpPr>
                    <xdr:cNvPr id="60" name="Rectángulo 59">
                      <a:extLst>
                        <a:ext uri="{FF2B5EF4-FFF2-40B4-BE49-F238E27FC236}">
                          <a16:creationId xmlns:a16="http://schemas.microsoft.com/office/drawing/2014/main" id="{00000000-0008-0000-0A00-00005A010000}"/>
                        </a:ext>
                      </a:extLst>
                    </xdr:cNvPr>
                    <xdr:cNvSpPr/>
                  </xdr:nvSpPr>
                  <xdr:spPr>
                    <a:xfrm>
                      <a:off x="10284280" y="15489032"/>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FF1D27E-B8FD-4BC4-B67A-20685F3032C3}"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24">
                  <xdr:nvSpPr>
                    <xdr:cNvPr id="61" name="Rectángulo 60">
                      <a:extLst>
                        <a:ext uri="{FF2B5EF4-FFF2-40B4-BE49-F238E27FC236}">
                          <a16:creationId xmlns:a16="http://schemas.microsoft.com/office/drawing/2014/main" id="{00000000-0008-0000-0A00-00005B010000}"/>
                        </a:ext>
                      </a:extLst>
                    </xdr:cNvPr>
                    <xdr:cNvSpPr/>
                  </xdr:nvSpPr>
                  <xdr:spPr>
                    <a:xfrm>
                      <a:off x="10560375" y="15489032"/>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15929E-6A33-4A50-9A72-E8AD16FDF034}"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
                  <xdr:nvSpPr>
                    <xdr:cNvPr id="62" name="CuadroTexto 61">
                      <a:extLst>
                        <a:ext uri="{FF2B5EF4-FFF2-40B4-BE49-F238E27FC236}">
                          <a16:creationId xmlns:a16="http://schemas.microsoft.com/office/drawing/2014/main" id="{00000000-0008-0000-0A00-000004020000}"/>
                        </a:ext>
                      </a:extLst>
                    </xdr:cNvPr>
                    <xdr:cNvSpPr txBox="1"/>
                  </xdr:nvSpPr>
                  <xdr:spPr>
                    <a:xfrm>
                      <a:off x="10245421" y="1548225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1" name="Grupo 30">
                  <a:extLst>
                    <a:ext uri="{FF2B5EF4-FFF2-40B4-BE49-F238E27FC236}">
                      <a16:creationId xmlns:a16="http://schemas.microsoft.com/office/drawing/2014/main" id="{00000000-0008-0000-0A00-00004F000000}"/>
                    </a:ext>
                  </a:extLst>
                </xdr:cNvPr>
                <xdr:cNvGrpSpPr/>
              </xdr:nvGrpSpPr>
              <xdr:grpSpPr>
                <a:xfrm>
                  <a:off x="3199901" y="15781544"/>
                  <a:ext cx="2160000" cy="730739"/>
                  <a:chOff x="3199901" y="15781544"/>
                  <a:chExt cx="2160000" cy="730739"/>
                </a:xfrm>
              </xdr:grpSpPr>
              <xdr:grpSp>
                <xdr:nvGrpSpPr>
                  <xdr:cNvPr id="50" name="Grupo 49">
                    <a:extLst>
                      <a:ext uri="{FF2B5EF4-FFF2-40B4-BE49-F238E27FC236}">
                        <a16:creationId xmlns:a16="http://schemas.microsoft.com/office/drawing/2014/main" id="{00000000-0008-0000-0A00-00009B000000}"/>
                      </a:ext>
                    </a:extLst>
                  </xdr:cNvPr>
                  <xdr:cNvGrpSpPr/>
                </xdr:nvGrpSpPr>
                <xdr:grpSpPr>
                  <a:xfrm>
                    <a:off x="3199901" y="15781544"/>
                    <a:ext cx="2160000" cy="726638"/>
                    <a:chOff x="28343182" y="12458683"/>
                    <a:chExt cx="2160000" cy="726638"/>
                  </a:xfrm>
                </xdr:grpSpPr>
                <xdr:sp macro="" textlink="">
                  <xdr:nvSpPr>
                    <xdr:cNvPr id="55" name="Cheurón 54">
                      <a:extLst>
                        <a:ext uri="{FF2B5EF4-FFF2-40B4-BE49-F238E27FC236}">
                          <a16:creationId xmlns:a16="http://schemas.microsoft.com/office/drawing/2014/main" id="{00000000-0008-0000-0A00-00009C000000}"/>
                        </a:ext>
                      </a:extLst>
                    </xdr:cNvPr>
                    <xdr:cNvSpPr/>
                  </xdr:nvSpPr>
                  <xdr:spPr>
                    <a:xfrm>
                      <a:off x="28343182"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6" name="CuadroTexto 55">
                      <a:extLst>
                        <a:ext uri="{FF2B5EF4-FFF2-40B4-BE49-F238E27FC236}">
                          <a16:creationId xmlns:a16="http://schemas.microsoft.com/office/drawing/2014/main" id="{00000000-0008-0000-0A00-00009D000000}"/>
                        </a:ext>
                      </a:extLst>
                    </xdr:cNvPr>
                    <xdr:cNvSpPr txBox="1"/>
                  </xdr:nvSpPr>
                  <xdr:spPr>
                    <a:xfrm>
                      <a:off x="2839771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L$25">
                  <xdr:nvSpPr>
                    <xdr:cNvPr id="57" name="Rectángulo redondeado 56">
                      <a:extLst>
                        <a:ext uri="{FF2B5EF4-FFF2-40B4-BE49-F238E27FC236}">
                          <a16:creationId xmlns:a16="http://schemas.microsoft.com/office/drawing/2014/main" id="{00000000-0008-0000-0A00-00009E000000}"/>
                        </a:ext>
                      </a:extLst>
                    </xdr:cNvPr>
                    <xdr:cNvSpPr/>
                  </xdr:nvSpPr>
                  <xdr:spPr>
                    <a:xfrm>
                      <a:off x="29557264"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0C5DDD5-22CC-41A0-BCCA-EBFE14C727F2}" type="TxLink">
                        <a:rPr lang="en-US" sz="1600" b="1" i="0" u="none" strike="noStrike">
                          <a:solidFill>
                            <a:srgbClr val="FFFF00"/>
                          </a:solidFill>
                          <a:latin typeface="Century Gothic"/>
                        </a:rPr>
                        <a:pPr algn="ctr"/>
                        <a:t>0,0%</a:t>
                      </a:fld>
                      <a:endParaRPr lang="es-CO" sz="2800">
                        <a:solidFill>
                          <a:srgbClr val="FFFF00"/>
                        </a:solidFill>
                      </a:endParaRPr>
                    </a:p>
                  </xdr:txBody>
                </xdr:sp>
              </xdr:grpSp>
              <xdr:grpSp>
                <xdr:nvGrpSpPr>
                  <xdr:cNvPr id="51" name="Grupo 50">
                    <a:extLst>
                      <a:ext uri="{FF2B5EF4-FFF2-40B4-BE49-F238E27FC236}">
                        <a16:creationId xmlns:a16="http://schemas.microsoft.com/office/drawing/2014/main" id="{00000000-0008-0000-0A00-00004E000000}"/>
                      </a:ext>
                    </a:extLst>
                  </xdr:cNvPr>
                  <xdr:cNvGrpSpPr/>
                </xdr:nvGrpSpPr>
                <xdr:grpSpPr>
                  <a:xfrm>
                    <a:off x="4461153" y="16239155"/>
                    <a:ext cx="770852" cy="273128"/>
                    <a:chOff x="4461153" y="16239155"/>
                    <a:chExt cx="770852" cy="273128"/>
                  </a:xfrm>
                </xdr:grpSpPr>
                <xdr:sp macro="" textlink="$K$25">
                  <xdr:nvSpPr>
                    <xdr:cNvPr id="52" name="Rectángulo 51">
                      <a:extLst>
                        <a:ext uri="{FF2B5EF4-FFF2-40B4-BE49-F238E27FC236}">
                          <a16:creationId xmlns:a16="http://schemas.microsoft.com/office/drawing/2014/main" id="{00000000-0008-0000-0A00-00005C010000}"/>
                        </a:ext>
                      </a:extLst>
                    </xdr:cNvPr>
                    <xdr:cNvSpPr/>
                  </xdr:nvSpPr>
                  <xdr:spPr>
                    <a:xfrm>
                      <a:off x="4476756" y="16240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E0A3BA-DB3E-4FBD-B34B-F4BA4A57DE42}" type="TxLink">
                        <a:rPr lang="en-US" sz="1100" b="1" i="0" u="none" strike="noStrike">
                          <a:solidFill>
                            <a:srgbClr val="FFFF00"/>
                          </a:solidFill>
                          <a:latin typeface="Century Gothic"/>
                        </a:rPr>
                        <a:pPr algn="ctr"/>
                        <a:t>0</a:t>
                      </a:fld>
                      <a:endParaRPr lang="es-CO" sz="4400" b="1">
                        <a:solidFill>
                          <a:srgbClr val="FFFF00"/>
                        </a:solidFill>
                      </a:endParaRPr>
                    </a:p>
                  </xdr:txBody>
                </xdr:sp>
                <xdr:sp macro="" textlink="$J$25">
                  <xdr:nvSpPr>
                    <xdr:cNvPr id="53" name="Rectángulo 52">
                      <a:extLst>
                        <a:ext uri="{FF2B5EF4-FFF2-40B4-BE49-F238E27FC236}">
                          <a16:creationId xmlns:a16="http://schemas.microsoft.com/office/drawing/2014/main" id="{00000000-0008-0000-0A00-00005D010000}"/>
                        </a:ext>
                      </a:extLst>
                    </xdr:cNvPr>
                    <xdr:cNvSpPr/>
                  </xdr:nvSpPr>
                  <xdr:spPr>
                    <a:xfrm>
                      <a:off x="4752850" y="16240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016435-3756-4AEE-98AD-B19C4987418C}"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
                  <xdr:nvSpPr>
                    <xdr:cNvPr id="54" name="CuadroTexto 53">
                      <a:extLst>
                        <a:ext uri="{FF2B5EF4-FFF2-40B4-BE49-F238E27FC236}">
                          <a16:creationId xmlns:a16="http://schemas.microsoft.com/office/drawing/2014/main" id="{00000000-0008-0000-0A00-000005020000}"/>
                        </a:ext>
                      </a:extLst>
                    </xdr:cNvPr>
                    <xdr:cNvSpPr txBox="1"/>
                  </xdr:nvSpPr>
                  <xdr:spPr>
                    <a:xfrm>
                      <a:off x="4461153" y="162391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2" name="Grupo 31">
                  <a:extLst>
                    <a:ext uri="{FF2B5EF4-FFF2-40B4-BE49-F238E27FC236}">
                      <a16:creationId xmlns:a16="http://schemas.microsoft.com/office/drawing/2014/main" id="{00000000-0008-0000-0A00-000051000000}"/>
                    </a:ext>
                  </a:extLst>
                </xdr:cNvPr>
                <xdr:cNvGrpSpPr/>
              </xdr:nvGrpSpPr>
              <xdr:grpSpPr>
                <a:xfrm>
                  <a:off x="5157105" y="15784267"/>
                  <a:ext cx="2160000" cy="730739"/>
                  <a:chOff x="5157105" y="15784267"/>
                  <a:chExt cx="2160000" cy="730739"/>
                </a:xfrm>
              </xdr:grpSpPr>
              <xdr:grpSp>
                <xdr:nvGrpSpPr>
                  <xdr:cNvPr id="42" name="Grupo 41">
                    <a:extLst>
                      <a:ext uri="{FF2B5EF4-FFF2-40B4-BE49-F238E27FC236}">
                        <a16:creationId xmlns:a16="http://schemas.microsoft.com/office/drawing/2014/main" id="{00000000-0008-0000-0A00-00009F000000}"/>
                      </a:ext>
                    </a:extLst>
                  </xdr:cNvPr>
                  <xdr:cNvGrpSpPr/>
                </xdr:nvGrpSpPr>
                <xdr:grpSpPr>
                  <a:xfrm>
                    <a:off x="5157105" y="15784267"/>
                    <a:ext cx="2160000" cy="726638"/>
                    <a:chOff x="28351843" y="12458683"/>
                    <a:chExt cx="2160000" cy="726638"/>
                  </a:xfrm>
                </xdr:grpSpPr>
                <xdr:sp macro="" textlink="">
                  <xdr:nvSpPr>
                    <xdr:cNvPr id="47" name="Cheurón 46">
                      <a:extLst>
                        <a:ext uri="{FF2B5EF4-FFF2-40B4-BE49-F238E27FC236}">
                          <a16:creationId xmlns:a16="http://schemas.microsoft.com/office/drawing/2014/main" id="{00000000-0008-0000-0A00-0000A0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8" name="CuadroTexto 47">
                      <a:extLst>
                        <a:ext uri="{FF2B5EF4-FFF2-40B4-BE49-F238E27FC236}">
                          <a16:creationId xmlns:a16="http://schemas.microsoft.com/office/drawing/2014/main" id="{00000000-0008-0000-0A00-0000A1000000}"/>
                        </a:ext>
                      </a:extLst>
                    </xdr:cNvPr>
                    <xdr:cNvSpPr txBox="1"/>
                  </xdr:nvSpPr>
                  <xdr:spPr>
                    <a:xfrm>
                      <a:off x="284304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L$26">
                  <xdr:nvSpPr>
                    <xdr:cNvPr id="49" name="Rectángulo redondeado 48">
                      <a:extLst>
                        <a:ext uri="{FF2B5EF4-FFF2-40B4-BE49-F238E27FC236}">
                          <a16:creationId xmlns:a16="http://schemas.microsoft.com/office/drawing/2014/main" id="{00000000-0008-0000-0A00-0000A2000000}"/>
                        </a:ext>
                      </a:extLst>
                    </xdr:cNvPr>
                    <xdr:cNvSpPr/>
                  </xdr:nvSpPr>
                  <xdr:spPr>
                    <a:xfrm>
                      <a:off x="29570871"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319C44-54A7-4F46-BFBF-67CA14DE6742}" type="TxLink">
                        <a:rPr lang="en-US" sz="1600" b="1" i="0" u="none" strike="noStrike">
                          <a:solidFill>
                            <a:srgbClr val="FFFF00"/>
                          </a:solidFill>
                          <a:latin typeface="Century Gothic"/>
                        </a:rPr>
                        <a:pPr algn="ctr"/>
                        <a:t>100,0%</a:t>
                      </a:fld>
                      <a:endParaRPr lang="es-CO" sz="3600">
                        <a:solidFill>
                          <a:srgbClr val="FFFF00"/>
                        </a:solidFill>
                      </a:endParaRPr>
                    </a:p>
                  </xdr:txBody>
                </xdr:sp>
              </xdr:grpSp>
              <xdr:grpSp>
                <xdr:nvGrpSpPr>
                  <xdr:cNvPr id="43" name="Grupo 42">
                    <a:extLst>
                      <a:ext uri="{FF2B5EF4-FFF2-40B4-BE49-F238E27FC236}">
                        <a16:creationId xmlns:a16="http://schemas.microsoft.com/office/drawing/2014/main" id="{00000000-0008-0000-0A00-000050000000}"/>
                      </a:ext>
                    </a:extLst>
                  </xdr:cNvPr>
                  <xdr:cNvGrpSpPr/>
                </xdr:nvGrpSpPr>
                <xdr:grpSpPr>
                  <a:xfrm>
                    <a:off x="6411921" y="16230653"/>
                    <a:ext cx="770852" cy="284353"/>
                    <a:chOff x="6411921" y="16230653"/>
                    <a:chExt cx="770852" cy="284353"/>
                  </a:xfrm>
                </xdr:grpSpPr>
                <xdr:sp macro="" textlink="$K$26">
                  <xdr:nvSpPr>
                    <xdr:cNvPr id="44" name="Rectángulo 43">
                      <a:extLst>
                        <a:ext uri="{FF2B5EF4-FFF2-40B4-BE49-F238E27FC236}">
                          <a16:creationId xmlns:a16="http://schemas.microsoft.com/office/drawing/2014/main" id="{00000000-0008-0000-0A00-00005E010000}"/>
                        </a:ext>
                      </a:extLst>
                    </xdr:cNvPr>
                    <xdr:cNvSpPr/>
                  </xdr:nvSpPr>
                  <xdr:spPr>
                    <a:xfrm>
                      <a:off x="6438904" y="162428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4F7C77-AE27-48DB-8803-62D43C048588}"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26">
                  <xdr:nvSpPr>
                    <xdr:cNvPr id="45" name="Rectángulo 44">
                      <a:extLst>
                        <a:ext uri="{FF2B5EF4-FFF2-40B4-BE49-F238E27FC236}">
                          <a16:creationId xmlns:a16="http://schemas.microsoft.com/office/drawing/2014/main" id="{00000000-0008-0000-0A00-00005F010000}"/>
                        </a:ext>
                      </a:extLst>
                    </xdr:cNvPr>
                    <xdr:cNvSpPr/>
                  </xdr:nvSpPr>
                  <xdr:spPr>
                    <a:xfrm>
                      <a:off x="6714998" y="162428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4AEDB1-E2E0-4714-AAB2-679144A5A6BB}"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
                  <xdr:nvSpPr>
                    <xdr:cNvPr id="46" name="CuadroTexto 45">
                      <a:extLst>
                        <a:ext uri="{FF2B5EF4-FFF2-40B4-BE49-F238E27FC236}">
                          <a16:creationId xmlns:a16="http://schemas.microsoft.com/office/drawing/2014/main" id="{00000000-0008-0000-0A00-000006020000}"/>
                        </a:ext>
                      </a:extLst>
                    </xdr:cNvPr>
                    <xdr:cNvSpPr txBox="1"/>
                  </xdr:nvSpPr>
                  <xdr:spPr>
                    <a:xfrm>
                      <a:off x="6411921" y="162306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3" name="Grupo 32">
                  <a:extLst>
                    <a:ext uri="{FF2B5EF4-FFF2-40B4-BE49-F238E27FC236}">
                      <a16:creationId xmlns:a16="http://schemas.microsoft.com/office/drawing/2014/main" id="{00000000-0008-0000-0A00-000053000000}"/>
                    </a:ext>
                  </a:extLst>
                </xdr:cNvPr>
                <xdr:cNvGrpSpPr/>
              </xdr:nvGrpSpPr>
              <xdr:grpSpPr>
                <a:xfrm>
                  <a:off x="7119249" y="15786990"/>
                  <a:ext cx="2160000" cy="730739"/>
                  <a:chOff x="7119249" y="15786990"/>
                  <a:chExt cx="2160000" cy="730739"/>
                </a:xfrm>
              </xdr:grpSpPr>
              <xdr:grpSp>
                <xdr:nvGrpSpPr>
                  <xdr:cNvPr id="34" name="Grupo 33">
                    <a:extLst>
                      <a:ext uri="{FF2B5EF4-FFF2-40B4-BE49-F238E27FC236}">
                        <a16:creationId xmlns:a16="http://schemas.microsoft.com/office/drawing/2014/main" id="{00000000-0008-0000-0A00-0000A3000000}"/>
                      </a:ext>
                    </a:extLst>
                  </xdr:cNvPr>
                  <xdr:cNvGrpSpPr/>
                </xdr:nvGrpSpPr>
                <xdr:grpSpPr>
                  <a:xfrm>
                    <a:off x="7119249" y="15786990"/>
                    <a:ext cx="2160000" cy="726638"/>
                    <a:chOff x="28351843" y="12458683"/>
                    <a:chExt cx="2160000" cy="726638"/>
                  </a:xfrm>
                </xdr:grpSpPr>
                <xdr:sp macro="" textlink="">
                  <xdr:nvSpPr>
                    <xdr:cNvPr id="39" name="Cheurón 38">
                      <a:extLst>
                        <a:ext uri="{FF2B5EF4-FFF2-40B4-BE49-F238E27FC236}">
                          <a16:creationId xmlns:a16="http://schemas.microsoft.com/office/drawing/2014/main" id="{00000000-0008-0000-0A00-0000A4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0" name="CuadroTexto 39">
                      <a:extLst>
                        <a:ext uri="{FF2B5EF4-FFF2-40B4-BE49-F238E27FC236}">
                          <a16:creationId xmlns:a16="http://schemas.microsoft.com/office/drawing/2014/main" id="{00000000-0008-0000-0A00-0000A5000000}"/>
                        </a:ext>
                      </a:extLst>
                    </xdr:cNvPr>
                    <xdr:cNvSpPr txBox="1"/>
                  </xdr:nvSpPr>
                  <xdr:spPr>
                    <a:xfrm>
                      <a:off x="28428643"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L$27">
                  <xdr:nvSpPr>
                    <xdr:cNvPr id="41" name="Rectángulo redondeado 40">
                      <a:extLst>
                        <a:ext uri="{FF2B5EF4-FFF2-40B4-BE49-F238E27FC236}">
                          <a16:creationId xmlns:a16="http://schemas.microsoft.com/office/drawing/2014/main" id="{00000000-0008-0000-0A00-0000A6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B438CE-1806-4C4D-A5DD-FACE1A9D095E}" type="TxLink">
                        <a:rPr lang="en-US" sz="1600" b="1" i="0" u="none" strike="noStrike">
                          <a:solidFill>
                            <a:srgbClr val="FFFF00"/>
                          </a:solidFill>
                          <a:latin typeface="Century Gothic"/>
                        </a:rPr>
                        <a:pPr algn="ctr"/>
                        <a:t>-</a:t>
                      </a:fld>
                      <a:endParaRPr lang="es-CO" sz="4400">
                        <a:solidFill>
                          <a:srgbClr val="FFFF00"/>
                        </a:solidFill>
                      </a:endParaRPr>
                    </a:p>
                  </xdr:txBody>
                </xdr:sp>
              </xdr:grpSp>
              <xdr:grpSp>
                <xdr:nvGrpSpPr>
                  <xdr:cNvPr id="35" name="Grupo 34">
                    <a:extLst>
                      <a:ext uri="{FF2B5EF4-FFF2-40B4-BE49-F238E27FC236}">
                        <a16:creationId xmlns:a16="http://schemas.microsoft.com/office/drawing/2014/main" id="{00000000-0008-0000-0A00-000052000000}"/>
                      </a:ext>
                    </a:extLst>
                  </xdr:cNvPr>
                  <xdr:cNvGrpSpPr/>
                </xdr:nvGrpSpPr>
                <xdr:grpSpPr>
                  <a:xfrm>
                    <a:off x="8389904" y="16239154"/>
                    <a:ext cx="770852" cy="278575"/>
                    <a:chOff x="8457939" y="16239154"/>
                    <a:chExt cx="770852" cy="278575"/>
                  </a:xfrm>
                </xdr:grpSpPr>
                <xdr:sp macro="" textlink="$K$27">
                  <xdr:nvSpPr>
                    <xdr:cNvPr id="36" name="Rectángulo 35">
                      <a:extLst>
                        <a:ext uri="{FF2B5EF4-FFF2-40B4-BE49-F238E27FC236}">
                          <a16:creationId xmlns:a16="http://schemas.microsoft.com/office/drawing/2014/main" id="{00000000-0008-0000-0A00-0000D6010000}"/>
                        </a:ext>
                      </a:extLst>
                    </xdr:cNvPr>
                    <xdr:cNvSpPr/>
                  </xdr:nvSpPr>
                  <xdr:spPr>
                    <a:xfrm>
                      <a:off x="8482695" y="1624558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92D6DE-30DB-4FCA-B331-013BAE61C8D3}" type="TxLink">
                        <a:rPr lang="en-US" sz="1100" b="1" i="0" u="none" strike="noStrike">
                          <a:solidFill>
                            <a:srgbClr val="FFFF00"/>
                          </a:solidFill>
                          <a:latin typeface="Century Gothic"/>
                        </a:rPr>
                        <a:pPr algn="ctr"/>
                        <a:t>-</a:t>
                      </a:fld>
                      <a:endParaRPr lang="es-CO" sz="4400" b="1">
                        <a:solidFill>
                          <a:srgbClr val="FFFF00"/>
                        </a:solidFill>
                      </a:endParaRPr>
                    </a:p>
                  </xdr:txBody>
                </xdr:sp>
                <xdr:sp macro="" textlink="$J$27">
                  <xdr:nvSpPr>
                    <xdr:cNvPr id="37" name="Rectángulo 36">
                      <a:extLst>
                        <a:ext uri="{FF2B5EF4-FFF2-40B4-BE49-F238E27FC236}">
                          <a16:creationId xmlns:a16="http://schemas.microsoft.com/office/drawing/2014/main" id="{00000000-0008-0000-0A00-0000D7010000}"/>
                        </a:ext>
                      </a:extLst>
                    </xdr:cNvPr>
                    <xdr:cNvSpPr/>
                  </xdr:nvSpPr>
                  <xdr:spPr>
                    <a:xfrm>
                      <a:off x="8758790" y="1624558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9433F7E-8FEF-4F4E-B759-A03E967583E2}" type="TxLink">
                        <a:rPr lang="en-US" sz="1100" b="1" i="0" u="none" strike="noStrike">
                          <a:solidFill>
                            <a:srgbClr val="FFFF00"/>
                          </a:solidFill>
                          <a:latin typeface="Century Gothic"/>
                        </a:rPr>
                        <a:pPr algn="ctr"/>
                        <a:t>0</a:t>
                      </a:fld>
                      <a:endParaRPr lang="es-CO" sz="4400" b="1">
                        <a:solidFill>
                          <a:srgbClr val="FFFF00"/>
                        </a:solidFill>
                      </a:endParaRPr>
                    </a:p>
                  </xdr:txBody>
                </xdr:sp>
                <xdr:sp macro="" textlink="">
                  <xdr:nvSpPr>
                    <xdr:cNvPr id="38" name="CuadroTexto 37">
                      <a:extLst>
                        <a:ext uri="{FF2B5EF4-FFF2-40B4-BE49-F238E27FC236}">
                          <a16:creationId xmlns:a16="http://schemas.microsoft.com/office/drawing/2014/main" id="{00000000-0008-0000-0A00-000007020000}"/>
                        </a:ext>
                      </a:extLst>
                    </xdr:cNvPr>
                    <xdr:cNvSpPr txBox="1"/>
                  </xdr:nvSpPr>
                  <xdr:spPr>
                    <a:xfrm>
                      <a:off x="8457939" y="162391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10" name="Grupo 9">
                <a:extLst>
                  <a:ext uri="{FF2B5EF4-FFF2-40B4-BE49-F238E27FC236}">
                    <a16:creationId xmlns:a16="http://schemas.microsoft.com/office/drawing/2014/main" id="{00000000-0008-0000-0A00-00009D020000}"/>
                  </a:ext>
                </a:extLst>
              </xdr:cNvPr>
              <xdr:cNvGrpSpPr/>
            </xdr:nvGrpSpPr>
            <xdr:grpSpPr>
              <a:xfrm>
                <a:off x="376735" y="16757552"/>
                <a:ext cx="6959058" cy="1639730"/>
                <a:chOff x="376735" y="16757552"/>
                <a:chExt cx="6959058" cy="1639730"/>
              </a:xfrm>
            </xdr:grpSpPr>
            <xdr:grpSp>
              <xdr:nvGrpSpPr>
                <xdr:cNvPr id="11" name="Grupo 10">
                  <a:extLst>
                    <a:ext uri="{FF2B5EF4-FFF2-40B4-BE49-F238E27FC236}">
                      <a16:creationId xmlns:a16="http://schemas.microsoft.com/office/drawing/2014/main" id="{00000000-0008-0000-0A00-0000A9000000}"/>
                    </a:ext>
                  </a:extLst>
                </xdr:cNvPr>
                <xdr:cNvGrpSpPr/>
              </xdr:nvGrpSpPr>
              <xdr:grpSpPr>
                <a:xfrm>
                  <a:off x="376735" y="16757552"/>
                  <a:ext cx="719839" cy="1639730"/>
                  <a:chOff x="27391177" y="8406495"/>
                  <a:chExt cx="720001" cy="1610348"/>
                </a:xfrm>
              </xdr:grpSpPr>
              <xdr:sp macro="" textlink="">
                <xdr:nvSpPr>
                  <xdr:cNvPr id="22" name="Rectángulo 21">
                    <a:extLst>
                      <a:ext uri="{FF2B5EF4-FFF2-40B4-BE49-F238E27FC236}">
                        <a16:creationId xmlns:a16="http://schemas.microsoft.com/office/drawing/2014/main" id="{00000000-0008-0000-0A00-0000AA000000}"/>
                      </a:ext>
                    </a:extLst>
                  </xdr:cNvPr>
                  <xdr:cNvSpPr/>
                </xdr:nvSpPr>
                <xdr:spPr>
                  <a:xfrm>
                    <a:off x="27391177" y="8504462"/>
                    <a:ext cx="720001"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3" name="CuadroTexto 22">
                    <a:extLst>
                      <a:ext uri="{FF2B5EF4-FFF2-40B4-BE49-F238E27FC236}">
                        <a16:creationId xmlns:a16="http://schemas.microsoft.com/office/drawing/2014/main" id="{00000000-0008-0000-0A00-0000AB000000}"/>
                      </a:ext>
                    </a:extLst>
                  </xdr:cNvPr>
                  <xdr:cNvSpPr txBox="1"/>
                </xdr:nvSpPr>
                <xdr:spPr>
                  <a:xfrm rot="16200000">
                    <a:off x="26944306"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12" name="Flecha abajo 11">
                  <a:extLst>
                    <a:ext uri="{FF2B5EF4-FFF2-40B4-BE49-F238E27FC236}">
                      <a16:creationId xmlns:a16="http://schemas.microsoft.com/office/drawing/2014/main" id="{00000000-0008-0000-0A00-00007B000000}"/>
                    </a:ext>
                  </a:extLst>
                </xdr:cNvPr>
                <xdr:cNvSpPr/>
              </xdr:nvSpPr>
              <xdr:spPr>
                <a:xfrm rot="10800000">
                  <a:off x="5788509" y="16877184"/>
                  <a:ext cx="467895" cy="293255"/>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3" name="Grupo 12">
                  <a:extLst>
                    <a:ext uri="{FF2B5EF4-FFF2-40B4-BE49-F238E27FC236}">
                      <a16:creationId xmlns:a16="http://schemas.microsoft.com/office/drawing/2014/main" id="{00000000-0008-0000-0A00-000055000000}"/>
                    </a:ext>
                  </a:extLst>
                </xdr:cNvPr>
                <xdr:cNvGrpSpPr/>
              </xdr:nvGrpSpPr>
              <xdr:grpSpPr>
                <a:xfrm>
                  <a:off x="5176276" y="17297903"/>
                  <a:ext cx="2159517" cy="733137"/>
                  <a:chOff x="5176151" y="17068783"/>
                  <a:chExt cx="2160000" cy="720000"/>
                </a:xfrm>
              </xdr:grpSpPr>
              <xdr:grpSp>
                <xdr:nvGrpSpPr>
                  <xdr:cNvPr id="14" name="Grupo 13">
                    <a:extLst>
                      <a:ext uri="{FF2B5EF4-FFF2-40B4-BE49-F238E27FC236}">
                        <a16:creationId xmlns:a16="http://schemas.microsoft.com/office/drawing/2014/main" id="{00000000-0008-0000-0A00-0000AC000000}"/>
                      </a:ext>
                    </a:extLst>
                  </xdr:cNvPr>
                  <xdr:cNvGrpSpPr/>
                </xdr:nvGrpSpPr>
                <xdr:grpSpPr>
                  <a:xfrm>
                    <a:off x="5176151" y="17068783"/>
                    <a:ext cx="2160000" cy="720000"/>
                    <a:chOff x="28351843" y="12458683"/>
                    <a:chExt cx="2160000" cy="720000"/>
                  </a:xfrm>
                </xdr:grpSpPr>
                <xdr:sp macro="" textlink="">
                  <xdr:nvSpPr>
                    <xdr:cNvPr id="19" name="Cheurón 18">
                      <a:extLst>
                        <a:ext uri="{FF2B5EF4-FFF2-40B4-BE49-F238E27FC236}">
                          <a16:creationId xmlns:a16="http://schemas.microsoft.com/office/drawing/2014/main" id="{00000000-0008-0000-0A00-0000AD00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 name="CuadroTexto 19">
                      <a:extLst>
                        <a:ext uri="{FF2B5EF4-FFF2-40B4-BE49-F238E27FC236}">
                          <a16:creationId xmlns:a16="http://schemas.microsoft.com/office/drawing/2014/main" id="{00000000-0008-0000-0A00-0000AE000000}"/>
                        </a:ext>
                      </a:extLst>
                    </xdr:cNvPr>
                    <xdr:cNvSpPr txBox="1"/>
                  </xdr:nvSpPr>
                  <xdr:spPr>
                    <a:xfrm>
                      <a:off x="28483071" y="12464143"/>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L$28">
                  <xdr:nvSpPr>
                    <xdr:cNvPr id="21" name="Rectángulo redondeado 20">
                      <a:extLst>
                        <a:ext uri="{FF2B5EF4-FFF2-40B4-BE49-F238E27FC236}">
                          <a16:creationId xmlns:a16="http://schemas.microsoft.com/office/drawing/2014/main" id="{00000000-0008-0000-0A00-0000AF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919415C-C649-4334-9208-BA429D4406BD}" type="TxLink">
                        <a:rPr lang="en-US" sz="1600" b="1" i="0" u="none" strike="noStrike">
                          <a:solidFill>
                            <a:schemeClr val="tx1">
                              <a:lumMod val="95000"/>
                              <a:lumOff val="5000"/>
                            </a:schemeClr>
                          </a:solidFill>
                          <a:latin typeface="Century Gothic"/>
                        </a:rPr>
                        <a:pPr algn="ctr"/>
                        <a:t>-</a:t>
                      </a:fld>
                      <a:endParaRPr lang="es-CO" sz="5400">
                        <a:solidFill>
                          <a:schemeClr val="tx1">
                            <a:lumMod val="95000"/>
                            <a:lumOff val="5000"/>
                          </a:schemeClr>
                        </a:solidFill>
                      </a:endParaRPr>
                    </a:p>
                  </xdr:txBody>
                </xdr:sp>
              </xdr:grpSp>
              <xdr:grpSp>
                <xdr:nvGrpSpPr>
                  <xdr:cNvPr id="15" name="Grupo 14">
                    <a:extLst>
                      <a:ext uri="{FF2B5EF4-FFF2-40B4-BE49-F238E27FC236}">
                        <a16:creationId xmlns:a16="http://schemas.microsoft.com/office/drawing/2014/main" id="{00000000-0008-0000-0A00-000054000000}"/>
                      </a:ext>
                    </a:extLst>
                  </xdr:cNvPr>
                  <xdr:cNvGrpSpPr/>
                </xdr:nvGrpSpPr>
                <xdr:grpSpPr>
                  <a:xfrm>
                    <a:off x="6439138" y="17482509"/>
                    <a:ext cx="770852" cy="276193"/>
                    <a:chOff x="6439138" y="17482509"/>
                    <a:chExt cx="770852" cy="276193"/>
                  </a:xfrm>
                </xdr:grpSpPr>
                <xdr:sp macro="" textlink="$K$28">
                  <xdr:nvSpPr>
                    <xdr:cNvPr id="16" name="Rectángulo 15">
                      <a:extLst>
                        <a:ext uri="{FF2B5EF4-FFF2-40B4-BE49-F238E27FC236}">
                          <a16:creationId xmlns:a16="http://schemas.microsoft.com/office/drawing/2014/main" id="{00000000-0008-0000-0A00-0000D8010000}"/>
                        </a:ext>
                      </a:extLst>
                    </xdr:cNvPr>
                    <xdr:cNvSpPr/>
                  </xdr:nvSpPr>
                  <xdr:spPr>
                    <a:xfrm>
                      <a:off x="6457957" y="1748655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590A664-5B50-42CD-8CC9-9E947BC8336C}" type="TxLink">
                        <a:rPr lang="en-US" sz="1100" b="1" i="0" u="none" strike="noStrike">
                          <a:solidFill>
                            <a:schemeClr val="tx1">
                              <a:lumMod val="95000"/>
                              <a:lumOff val="5000"/>
                            </a:schemeClr>
                          </a:solidFill>
                          <a:latin typeface="Century Gothic"/>
                        </a:rPr>
                        <a:pPr algn="ctr"/>
                        <a:t>-</a:t>
                      </a:fld>
                      <a:endParaRPr lang="es-CO" sz="4400" b="1">
                        <a:solidFill>
                          <a:schemeClr val="tx1">
                            <a:lumMod val="95000"/>
                            <a:lumOff val="5000"/>
                          </a:schemeClr>
                        </a:solidFill>
                      </a:endParaRPr>
                    </a:p>
                  </xdr:txBody>
                </xdr:sp>
                <xdr:sp macro="" textlink="$J$28">
                  <xdr:nvSpPr>
                    <xdr:cNvPr id="17" name="Rectángulo 16">
                      <a:extLst>
                        <a:ext uri="{FF2B5EF4-FFF2-40B4-BE49-F238E27FC236}">
                          <a16:creationId xmlns:a16="http://schemas.microsoft.com/office/drawing/2014/main" id="{00000000-0008-0000-0A00-0000D9010000}"/>
                        </a:ext>
                      </a:extLst>
                    </xdr:cNvPr>
                    <xdr:cNvSpPr/>
                  </xdr:nvSpPr>
                  <xdr:spPr>
                    <a:xfrm>
                      <a:off x="6734051" y="1748655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4C6EB7-4A0A-4928-8BB8-ADB5DD5EC4CD}" type="TxLink">
                        <a:rPr lang="en-US" sz="1100" b="1" i="0" u="none" strike="noStrike">
                          <a:solidFill>
                            <a:schemeClr val="tx1">
                              <a:lumMod val="95000"/>
                              <a:lumOff val="5000"/>
                            </a:schemeClr>
                          </a:solidFill>
                          <a:latin typeface="Century Gothic"/>
                        </a:rPr>
                        <a:pPr algn="ctr"/>
                        <a:t>0</a:t>
                      </a:fld>
                      <a:endParaRPr lang="es-CO" sz="4400" b="1">
                        <a:solidFill>
                          <a:schemeClr val="tx1">
                            <a:lumMod val="95000"/>
                            <a:lumOff val="5000"/>
                          </a:schemeClr>
                        </a:solidFill>
                      </a:endParaRPr>
                    </a:p>
                  </xdr:txBody>
                </xdr:sp>
                <xdr:sp macro="" textlink="">
                  <xdr:nvSpPr>
                    <xdr:cNvPr id="18" name="CuadroTexto 17">
                      <a:extLst>
                        <a:ext uri="{FF2B5EF4-FFF2-40B4-BE49-F238E27FC236}">
                          <a16:creationId xmlns:a16="http://schemas.microsoft.com/office/drawing/2014/main" id="{00000000-0008-0000-0A00-000008020000}"/>
                        </a:ext>
                      </a:extLst>
                    </xdr:cNvPr>
                    <xdr:cNvSpPr txBox="1"/>
                  </xdr:nvSpPr>
                  <xdr:spPr>
                    <a:xfrm>
                      <a:off x="6439138" y="1748250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chemeClr val="tx1">
                              <a:lumMod val="95000"/>
                              <a:lumOff val="5000"/>
                            </a:schemeClr>
                          </a:solidFill>
                          <a:latin typeface="Century Gothic" panose="020B0502020202020204" pitchFamily="34" charset="0"/>
                        </a:rPr>
                        <a:t>(</a:t>
                      </a:r>
                      <a:r>
                        <a:rPr lang="es-CO" sz="1100" baseline="0">
                          <a:solidFill>
                            <a:schemeClr val="tx1">
                              <a:lumMod val="95000"/>
                              <a:lumOff val="5000"/>
                            </a:schemeClr>
                          </a:solidFill>
                          <a:latin typeface="Century Gothic" panose="020B0502020202020204" pitchFamily="34" charset="0"/>
                        </a:rPr>
                        <a:t>     /     </a:t>
                      </a:r>
                      <a:r>
                        <a:rPr lang="es-CO" sz="1100">
                          <a:solidFill>
                            <a:schemeClr val="tx1">
                              <a:lumMod val="95000"/>
                              <a:lumOff val="5000"/>
                            </a:schemeClr>
                          </a:solidFill>
                          <a:latin typeface="Century Gothic" panose="020B0502020202020204" pitchFamily="34" charset="0"/>
                        </a:rPr>
                        <a:t>)</a:t>
                      </a:r>
                    </a:p>
                  </xdr:txBody>
                </xdr:sp>
              </xdr:grpSp>
            </xdr:grpSp>
          </xdr:grpSp>
        </xdr:grpSp>
      </xdr:grpSp>
    </xdr:grpSp>
    <xdr:clientData/>
  </xdr:twoCellAnchor>
  <xdr:twoCellAnchor editAs="absolute">
    <xdr:from>
      <xdr:col>41</xdr:col>
      <xdr:colOff>35344</xdr:colOff>
      <xdr:row>35</xdr:row>
      <xdr:rowOff>178118</xdr:rowOff>
    </xdr:from>
    <xdr:to>
      <xdr:col>55</xdr:col>
      <xdr:colOff>353694</xdr:colOff>
      <xdr:row>73</xdr:row>
      <xdr:rowOff>94020</xdr:rowOff>
    </xdr:to>
    <xdr:grpSp>
      <xdr:nvGrpSpPr>
        <xdr:cNvPr id="240" name="Grupo 239">
          <a:extLst>
            <a:ext uri="{FF2B5EF4-FFF2-40B4-BE49-F238E27FC236}">
              <a16:creationId xmlns:a16="http://schemas.microsoft.com/office/drawing/2014/main" id="{00000000-0008-0000-0A00-00008A040000}"/>
            </a:ext>
          </a:extLst>
        </xdr:cNvPr>
        <xdr:cNvGrpSpPr/>
      </xdr:nvGrpSpPr>
      <xdr:grpSpPr>
        <a:xfrm>
          <a:off x="22718451" y="9594261"/>
          <a:ext cx="10986350" cy="7671973"/>
          <a:chOff x="11922544" y="9446079"/>
          <a:chExt cx="11005400" cy="7878801"/>
        </a:xfrm>
      </xdr:grpSpPr>
      <xdr:grpSp>
        <xdr:nvGrpSpPr>
          <xdr:cNvPr id="241" name="Grupo 240">
            <a:extLst>
              <a:ext uri="{FF2B5EF4-FFF2-40B4-BE49-F238E27FC236}">
                <a16:creationId xmlns:a16="http://schemas.microsoft.com/office/drawing/2014/main" id="{00000000-0008-0000-0A00-00003F020000}"/>
              </a:ext>
            </a:extLst>
          </xdr:cNvPr>
          <xdr:cNvGrpSpPr/>
        </xdr:nvGrpSpPr>
        <xdr:grpSpPr>
          <a:xfrm>
            <a:off x="11931653" y="9446079"/>
            <a:ext cx="10943885" cy="849831"/>
            <a:chOff x="11896943" y="10589079"/>
            <a:chExt cx="10912926" cy="842845"/>
          </a:xfrm>
        </xdr:grpSpPr>
        <xdr:sp macro="" textlink="">
          <xdr:nvSpPr>
            <xdr:cNvPr id="471" name="Rectángulo 470">
              <a:extLst>
                <a:ext uri="{FF2B5EF4-FFF2-40B4-BE49-F238E27FC236}">
                  <a16:creationId xmlns:a16="http://schemas.microsoft.com/office/drawing/2014/main" id="{00000000-0008-0000-0A00-000028010000}"/>
                </a:ext>
              </a:extLst>
            </xdr:cNvPr>
            <xdr:cNvSpPr/>
          </xdr:nvSpPr>
          <xdr:spPr>
            <a:xfrm>
              <a:off x="11896943" y="10589079"/>
              <a:ext cx="9961033" cy="842845"/>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latin typeface="Century Gothic" panose="020B0502020202020204" pitchFamily="34" charset="0"/>
                </a:rPr>
                <a:t>PROPORCION DE OPORTUNIDADES DE MEJORA CERRADAS DE LAS AUDITORÍAS CON ENFOQUE EN RIESGOS, ESE METROSALUD, 2019 - 2023</a:t>
              </a:r>
            </a:p>
          </xdr:txBody>
        </xdr:sp>
        <xdr:grpSp>
          <xdr:nvGrpSpPr>
            <xdr:cNvPr id="472" name="Grupo 471">
              <a:extLst>
                <a:ext uri="{FF2B5EF4-FFF2-40B4-BE49-F238E27FC236}">
                  <a16:creationId xmlns:a16="http://schemas.microsoft.com/office/drawing/2014/main" id="{00000000-0008-0000-0A00-00003E020000}"/>
                </a:ext>
              </a:extLst>
            </xdr:cNvPr>
            <xdr:cNvGrpSpPr/>
          </xdr:nvGrpSpPr>
          <xdr:grpSpPr>
            <a:xfrm>
              <a:off x="21896706" y="10589079"/>
              <a:ext cx="913163" cy="842845"/>
              <a:chOff x="21896706" y="10589079"/>
              <a:chExt cx="913163" cy="842845"/>
            </a:xfrm>
          </xdr:grpSpPr>
          <xdr:sp macro="" textlink="$X$32">
            <xdr:nvSpPr>
              <xdr:cNvPr id="473" name="Rectángulo 472">
                <a:extLst>
                  <a:ext uri="{FF2B5EF4-FFF2-40B4-BE49-F238E27FC236}">
                    <a16:creationId xmlns:a16="http://schemas.microsoft.com/office/drawing/2014/main" id="{00000000-0008-0000-0A00-000027010000}"/>
                  </a:ext>
                </a:extLst>
              </xdr:cNvPr>
              <xdr:cNvSpPr/>
            </xdr:nvSpPr>
            <xdr:spPr>
              <a:xfrm>
                <a:off x="21896706"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BDB602-5289-402C-ADEE-C9F1A500DA2A}" type="TxLink">
                  <a:rPr lang="en-US" sz="1800" b="1" i="0" u="none" strike="noStrike">
                    <a:solidFill>
                      <a:srgbClr val="000000"/>
                    </a:solidFill>
                    <a:latin typeface="Century Gothic"/>
                  </a:rPr>
                  <a:pPr algn="ctr"/>
                  <a:t>10,1%</a:t>
                </a:fld>
                <a:endParaRPr lang="es-CO" sz="7200">
                  <a:solidFill>
                    <a:schemeClr val="tx1">
                      <a:lumMod val="95000"/>
                      <a:lumOff val="5000"/>
                    </a:schemeClr>
                  </a:solidFill>
                </a:endParaRPr>
              </a:p>
            </xdr:txBody>
          </xdr:sp>
          <xdr:grpSp>
            <xdr:nvGrpSpPr>
              <xdr:cNvPr id="474" name="Grupo 473">
                <a:extLst>
                  <a:ext uri="{FF2B5EF4-FFF2-40B4-BE49-F238E27FC236}">
                    <a16:creationId xmlns:a16="http://schemas.microsoft.com/office/drawing/2014/main" id="{00000000-0008-0000-0A00-00003D020000}"/>
                  </a:ext>
                </a:extLst>
              </xdr:cNvPr>
              <xdr:cNvGrpSpPr/>
            </xdr:nvGrpSpPr>
            <xdr:grpSpPr>
              <a:xfrm>
                <a:off x="21897657" y="11129222"/>
                <a:ext cx="898782" cy="285385"/>
                <a:chOff x="21897657" y="11129222"/>
                <a:chExt cx="898782" cy="285385"/>
              </a:xfrm>
            </xdr:grpSpPr>
            <xdr:sp macro="" textlink="$W$32">
              <xdr:nvSpPr>
                <xdr:cNvPr id="475" name="Rectángulo 474">
                  <a:extLst>
                    <a:ext uri="{FF2B5EF4-FFF2-40B4-BE49-F238E27FC236}">
                      <a16:creationId xmlns:a16="http://schemas.microsoft.com/office/drawing/2014/main" id="{00000000-0008-0000-0A00-00002D01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73493F-3060-41AA-89CB-5219DB8E2E44}" type="TxLink">
                    <a:rPr lang="en-US" sz="1100" b="1" i="0" u="none" strike="noStrike">
                      <a:solidFill>
                        <a:srgbClr val="000000"/>
                      </a:solidFill>
                      <a:latin typeface="Century Gothic"/>
                    </a:rPr>
                    <a:pPr algn="ctr"/>
                    <a:t>41</a:t>
                  </a:fld>
                  <a:endParaRPr lang="es-CO" sz="1100">
                    <a:solidFill>
                      <a:schemeClr val="tx1">
                        <a:lumMod val="95000"/>
                        <a:lumOff val="5000"/>
                      </a:schemeClr>
                    </a:solidFill>
                  </a:endParaRPr>
                </a:p>
              </xdr:txBody>
            </xdr:sp>
            <xdr:sp macro="" textlink="">
              <xdr:nvSpPr>
                <xdr:cNvPr id="476" name="CuadroTexto 475">
                  <a:extLst>
                    <a:ext uri="{FF2B5EF4-FFF2-40B4-BE49-F238E27FC236}">
                      <a16:creationId xmlns:a16="http://schemas.microsoft.com/office/drawing/2014/main" id="{00000000-0008-0000-0A00-00002E010000}"/>
                    </a:ext>
                  </a:extLst>
                </xdr:cNvPr>
                <xdr:cNvSpPr txBox="1"/>
              </xdr:nvSpPr>
              <xdr:spPr>
                <a:xfrm>
                  <a:off x="21897657" y="11129222"/>
                  <a:ext cx="898782" cy="269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latin typeface="Century Gothic" panose="020B0502020202020204" pitchFamily="34" charset="0"/>
                    </a:rPr>
                    <a:t>(       /  </a:t>
                  </a:r>
                  <a:r>
                    <a:rPr lang="es-CO" sz="1100" i="0" baseline="0">
                      <a:latin typeface="Century Gothic" panose="020B0502020202020204" pitchFamily="34" charset="0"/>
                    </a:rPr>
                    <a:t>      </a:t>
                  </a:r>
                  <a:r>
                    <a:rPr lang="es-CO" sz="1100" i="0">
                      <a:latin typeface="Century Gothic" panose="020B0502020202020204" pitchFamily="34" charset="0"/>
                    </a:rPr>
                    <a:t>)</a:t>
                  </a:r>
                </a:p>
              </xdr:txBody>
            </xdr:sp>
            <xdr:sp macro="" textlink="$M$32">
              <xdr:nvSpPr>
                <xdr:cNvPr id="477" name="Rectángulo 476">
                  <a:extLst>
                    <a:ext uri="{FF2B5EF4-FFF2-40B4-BE49-F238E27FC236}">
                      <a16:creationId xmlns:a16="http://schemas.microsoft.com/office/drawing/2014/main" id="{00000000-0008-0000-0A00-00002F01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C3F159-7729-4C43-94CB-D1039B7E5B96}" type="TxLink">
                    <a:rPr lang="en-US" sz="1100" b="1" i="0" u="none" strike="noStrike">
                      <a:solidFill>
                        <a:srgbClr val="000000"/>
                      </a:solidFill>
                      <a:latin typeface="Century Gothic"/>
                    </a:rPr>
                    <a:pPr algn="ctr"/>
                    <a:t>405</a:t>
                  </a:fld>
                  <a:endParaRPr lang="es-CO" sz="1100">
                    <a:solidFill>
                      <a:schemeClr val="tx1">
                        <a:lumMod val="95000"/>
                        <a:lumOff val="5000"/>
                      </a:schemeClr>
                    </a:solidFill>
                  </a:endParaRPr>
                </a:p>
              </xdr:txBody>
            </xdr:sp>
          </xdr:grpSp>
        </xdr:grpSp>
      </xdr:grpSp>
      <xdr:grpSp>
        <xdr:nvGrpSpPr>
          <xdr:cNvPr id="242" name="Grupo 241">
            <a:extLst>
              <a:ext uri="{FF2B5EF4-FFF2-40B4-BE49-F238E27FC236}">
                <a16:creationId xmlns:a16="http://schemas.microsoft.com/office/drawing/2014/main" id="{00000000-0008-0000-0A00-000089040000}"/>
              </a:ext>
            </a:extLst>
          </xdr:cNvPr>
          <xdr:cNvGrpSpPr/>
        </xdr:nvGrpSpPr>
        <xdr:grpSpPr>
          <a:xfrm>
            <a:off x="11922544" y="10411458"/>
            <a:ext cx="11005400" cy="6913422"/>
            <a:chOff x="11922544" y="10411458"/>
            <a:chExt cx="11005400" cy="6913422"/>
          </a:xfrm>
        </xdr:grpSpPr>
        <xdr:sp macro="" textlink="">
          <xdr:nvSpPr>
            <xdr:cNvPr id="243" name="Rectángulo redondeado 242">
              <a:extLst>
                <a:ext uri="{FF2B5EF4-FFF2-40B4-BE49-F238E27FC236}">
                  <a16:creationId xmlns:a16="http://schemas.microsoft.com/office/drawing/2014/main" id="{00000000-0008-0000-0A00-0000A7000000}"/>
                </a:ext>
              </a:extLst>
            </xdr:cNvPr>
            <xdr:cNvSpPr/>
          </xdr:nvSpPr>
          <xdr:spPr>
            <a:xfrm>
              <a:off x="11922544" y="10411458"/>
              <a:ext cx="11005400" cy="6913422"/>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44" name="Grupo 243">
              <a:extLst>
                <a:ext uri="{FF2B5EF4-FFF2-40B4-BE49-F238E27FC236}">
                  <a16:creationId xmlns:a16="http://schemas.microsoft.com/office/drawing/2014/main" id="{00000000-0008-0000-0A00-00004C020000}"/>
                </a:ext>
              </a:extLst>
            </xdr:cNvPr>
            <xdr:cNvGrpSpPr/>
          </xdr:nvGrpSpPr>
          <xdr:grpSpPr>
            <a:xfrm>
              <a:off x="12031390" y="10425193"/>
              <a:ext cx="10712849" cy="1653631"/>
              <a:chOff x="11996402" y="11560135"/>
              <a:chExt cx="10682546" cy="1640036"/>
            </a:xfrm>
          </xdr:grpSpPr>
          <xdr:grpSp>
            <xdr:nvGrpSpPr>
              <xdr:cNvPr id="430" name="Grupo 429">
                <a:extLst>
                  <a:ext uri="{FF2B5EF4-FFF2-40B4-BE49-F238E27FC236}">
                    <a16:creationId xmlns:a16="http://schemas.microsoft.com/office/drawing/2014/main" id="{00000000-0008-0000-0A00-0000EA000000}"/>
                  </a:ext>
                </a:extLst>
              </xdr:cNvPr>
              <xdr:cNvGrpSpPr/>
            </xdr:nvGrpSpPr>
            <xdr:grpSpPr>
              <a:xfrm>
                <a:off x="11996402" y="11560135"/>
                <a:ext cx="719624" cy="1640036"/>
                <a:chOff x="27415305" y="8324853"/>
                <a:chExt cx="719624" cy="1610348"/>
              </a:xfrm>
            </xdr:grpSpPr>
            <xdr:sp macro="" textlink="">
              <xdr:nvSpPr>
                <xdr:cNvPr id="469" name="Rectángulo 468">
                  <a:extLst>
                    <a:ext uri="{FF2B5EF4-FFF2-40B4-BE49-F238E27FC236}">
                      <a16:creationId xmlns:a16="http://schemas.microsoft.com/office/drawing/2014/main" id="{00000000-0008-0000-0A00-0000F7000000}"/>
                    </a:ext>
                  </a:extLst>
                </xdr:cNvPr>
                <xdr:cNvSpPr/>
              </xdr:nvSpPr>
              <xdr:spPr>
                <a:xfrm>
                  <a:off x="27415305" y="8450034"/>
                  <a:ext cx="719624"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70" name="CuadroTexto 469">
                  <a:extLst>
                    <a:ext uri="{FF2B5EF4-FFF2-40B4-BE49-F238E27FC236}">
                      <a16:creationId xmlns:a16="http://schemas.microsoft.com/office/drawing/2014/main" id="{00000000-0008-0000-0A00-0000F8000000}"/>
                    </a:ext>
                  </a:extLst>
                </xdr:cNvPr>
                <xdr:cNvSpPr txBox="1"/>
              </xdr:nvSpPr>
              <xdr:spPr>
                <a:xfrm rot="16200000">
                  <a:off x="26948833"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sp macro="" textlink="">
            <xdr:nvSpPr>
              <xdr:cNvPr id="431" name="Flecha abajo 430">
                <a:extLst>
                  <a:ext uri="{FF2B5EF4-FFF2-40B4-BE49-F238E27FC236}">
                    <a16:creationId xmlns:a16="http://schemas.microsoft.com/office/drawing/2014/main" id="{00000000-0008-0000-0A00-0000E8000000}"/>
                  </a:ext>
                </a:extLst>
              </xdr:cNvPr>
              <xdr:cNvSpPr/>
            </xdr:nvSpPr>
            <xdr:spPr>
              <a:xfrm>
                <a:off x="17372127" y="12875080"/>
                <a:ext cx="468000" cy="291710"/>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32" name="Grupo 431">
                <a:extLst>
                  <a:ext uri="{FF2B5EF4-FFF2-40B4-BE49-F238E27FC236}">
                    <a16:creationId xmlns:a16="http://schemas.microsoft.com/office/drawing/2014/main" id="{00000000-0008-0000-0A00-000048020000}"/>
                  </a:ext>
                </a:extLst>
              </xdr:cNvPr>
              <xdr:cNvGrpSpPr/>
            </xdr:nvGrpSpPr>
            <xdr:grpSpPr>
              <a:xfrm>
                <a:off x="12791456" y="12043791"/>
                <a:ext cx="2623086" cy="750638"/>
                <a:chOff x="12791456" y="12043791"/>
                <a:chExt cx="2623086" cy="750638"/>
              </a:xfrm>
            </xdr:grpSpPr>
            <xdr:grpSp>
              <xdr:nvGrpSpPr>
                <xdr:cNvPr id="460" name="Grupo 459">
                  <a:extLst>
                    <a:ext uri="{FF2B5EF4-FFF2-40B4-BE49-F238E27FC236}">
                      <a16:creationId xmlns:a16="http://schemas.microsoft.com/office/drawing/2014/main" id="{00000000-0008-0000-0A00-000047020000}"/>
                    </a:ext>
                  </a:extLst>
                </xdr:cNvPr>
                <xdr:cNvGrpSpPr/>
              </xdr:nvGrpSpPr>
              <xdr:grpSpPr>
                <a:xfrm>
                  <a:off x="12791456" y="12043791"/>
                  <a:ext cx="2623086" cy="734845"/>
                  <a:chOff x="12791456" y="12043791"/>
                  <a:chExt cx="2623086" cy="734845"/>
                </a:xfrm>
              </xdr:grpSpPr>
              <xdr:grpSp>
                <xdr:nvGrpSpPr>
                  <xdr:cNvPr id="465" name="Grupo 464">
                    <a:extLst>
                      <a:ext uri="{FF2B5EF4-FFF2-40B4-BE49-F238E27FC236}">
                        <a16:creationId xmlns:a16="http://schemas.microsoft.com/office/drawing/2014/main" id="{00000000-0008-0000-0A00-000046020000}"/>
                      </a:ext>
                    </a:extLst>
                  </xdr:cNvPr>
                  <xdr:cNvGrpSpPr/>
                </xdr:nvGrpSpPr>
                <xdr:grpSpPr>
                  <a:xfrm>
                    <a:off x="12791456" y="12043791"/>
                    <a:ext cx="2623086" cy="734845"/>
                    <a:chOff x="12791456" y="12043791"/>
                    <a:chExt cx="2623086" cy="734845"/>
                  </a:xfrm>
                </xdr:grpSpPr>
                <xdr:sp macro="" textlink="">
                  <xdr:nvSpPr>
                    <xdr:cNvPr id="467" name="Cheurón 466">
                      <a:extLst>
                        <a:ext uri="{FF2B5EF4-FFF2-40B4-BE49-F238E27FC236}">
                          <a16:creationId xmlns:a16="http://schemas.microsoft.com/office/drawing/2014/main" id="{00000000-0008-0000-0A00-0000F9000000}"/>
                        </a:ext>
                      </a:extLst>
                    </xdr:cNvPr>
                    <xdr:cNvSpPr/>
                  </xdr:nvSpPr>
                  <xdr:spPr>
                    <a:xfrm>
                      <a:off x="12791456" y="12043791"/>
                      <a:ext cx="2623086" cy="734845"/>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68" name="CuadroTexto 467">
                      <a:extLst>
                        <a:ext uri="{FF2B5EF4-FFF2-40B4-BE49-F238E27FC236}">
                          <a16:creationId xmlns:a16="http://schemas.microsoft.com/office/drawing/2014/main" id="{00000000-0008-0000-0A00-0000FA000000}"/>
                        </a:ext>
                      </a:extLst>
                    </xdr:cNvPr>
                    <xdr:cNvSpPr txBox="1"/>
                  </xdr:nvSpPr>
                  <xdr:spPr>
                    <a:xfrm>
                      <a:off x="12990347" y="12201748"/>
                      <a:ext cx="1710407" cy="44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grpSp>
              <xdr:sp macro="" textlink="$X$6">
                <xdr:nvSpPr>
                  <xdr:cNvPr id="466" name="Rectángulo redondeado 465">
                    <a:extLst>
                      <a:ext uri="{FF2B5EF4-FFF2-40B4-BE49-F238E27FC236}">
                        <a16:creationId xmlns:a16="http://schemas.microsoft.com/office/drawing/2014/main" id="{00000000-0008-0000-0A00-0000FB000000}"/>
                      </a:ext>
                    </a:extLst>
                  </xdr:cNvPr>
                  <xdr:cNvSpPr/>
                </xdr:nvSpPr>
                <xdr:spPr>
                  <a:xfrm>
                    <a:off x="14462512" y="12157963"/>
                    <a:ext cx="934250" cy="5126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01D60D-B338-4374-B3D9-1553B46C283B}" type="TxLink">
                      <a:rPr lang="en-US" sz="1600" b="1" i="0" u="none" strike="noStrike">
                        <a:solidFill>
                          <a:srgbClr val="FFFF00"/>
                        </a:solidFill>
                        <a:latin typeface="Century Gothic"/>
                      </a:rPr>
                      <a:pPr algn="ctr"/>
                      <a:t>0,0%</a:t>
                    </a:fld>
                    <a:endParaRPr lang="es-CO" sz="2000">
                      <a:solidFill>
                        <a:srgbClr val="FFFF00"/>
                      </a:solidFill>
                    </a:endParaRPr>
                  </a:p>
                </xdr:txBody>
              </xdr:sp>
            </xdr:grpSp>
            <xdr:grpSp>
              <xdr:nvGrpSpPr>
                <xdr:cNvPr id="461" name="Grupo 460">
                  <a:extLst>
                    <a:ext uri="{FF2B5EF4-FFF2-40B4-BE49-F238E27FC236}">
                      <a16:creationId xmlns:a16="http://schemas.microsoft.com/office/drawing/2014/main" id="{00000000-0008-0000-0A00-000040020000}"/>
                    </a:ext>
                  </a:extLst>
                </xdr:cNvPr>
                <xdr:cNvGrpSpPr/>
              </xdr:nvGrpSpPr>
              <xdr:grpSpPr>
                <a:xfrm>
                  <a:off x="14440611" y="12513585"/>
                  <a:ext cx="828000" cy="280844"/>
                  <a:chOff x="14427220" y="12646387"/>
                  <a:chExt cx="828000" cy="280844"/>
                </a:xfrm>
              </xdr:grpSpPr>
              <xdr:sp macro="" textlink="$W$6">
                <xdr:nvSpPr>
                  <xdr:cNvPr id="462" name="Rectángulo 461">
                    <a:extLst>
                      <a:ext uri="{FF2B5EF4-FFF2-40B4-BE49-F238E27FC236}">
                        <a16:creationId xmlns:a16="http://schemas.microsoft.com/office/drawing/2014/main" id="{00000000-0008-0000-0A00-00000B020000}"/>
                      </a:ext>
                    </a:extLst>
                  </xdr:cNvPr>
                  <xdr:cNvSpPr/>
                </xdr:nvSpPr>
                <xdr:spPr>
                  <a:xfrm>
                    <a:off x="14492534"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EA52D3B-97F3-4073-8825-C8ADAAC75FE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6">
                <xdr:nvSpPr>
                  <xdr:cNvPr id="463" name="Rectángulo 462">
                    <a:extLst>
                      <a:ext uri="{FF2B5EF4-FFF2-40B4-BE49-F238E27FC236}">
                        <a16:creationId xmlns:a16="http://schemas.microsoft.com/office/drawing/2014/main" id="{00000000-0008-0000-0A00-00000C020000}"/>
                      </a:ext>
                    </a:extLst>
                  </xdr:cNvPr>
                  <xdr:cNvSpPr/>
                </xdr:nvSpPr>
                <xdr:spPr>
                  <a:xfrm>
                    <a:off x="14787189"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3D980C5-E4DB-4679-98A6-B072E20886D7}"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
                <xdr:nvSpPr>
                  <xdr:cNvPr id="464" name="CuadroTexto 463">
                    <a:extLst>
                      <a:ext uri="{FF2B5EF4-FFF2-40B4-BE49-F238E27FC236}">
                        <a16:creationId xmlns:a16="http://schemas.microsoft.com/office/drawing/2014/main" id="{00000000-0008-0000-0A00-00000E020000}"/>
                      </a:ext>
                    </a:extLst>
                  </xdr:cNvPr>
                  <xdr:cNvSpPr txBox="1"/>
                </xdr:nvSpPr>
                <xdr:spPr>
                  <a:xfrm>
                    <a:off x="14427220" y="12646387"/>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33" name="Grupo 432">
                <a:extLst>
                  <a:ext uri="{FF2B5EF4-FFF2-40B4-BE49-F238E27FC236}">
                    <a16:creationId xmlns:a16="http://schemas.microsoft.com/office/drawing/2014/main" id="{00000000-0008-0000-0A00-000049020000}"/>
                  </a:ext>
                </a:extLst>
              </xdr:cNvPr>
              <xdr:cNvGrpSpPr/>
            </xdr:nvGrpSpPr>
            <xdr:grpSpPr>
              <a:xfrm>
                <a:off x="15211291" y="12043791"/>
                <a:ext cx="2628002" cy="750638"/>
                <a:chOff x="15211291" y="12043791"/>
                <a:chExt cx="2628002" cy="750638"/>
              </a:xfrm>
            </xdr:grpSpPr>
            <xdr:grpSp>
              <xdr:nvGrpSpPr>
                <xdr:cNvPr id="452" name="Grupo 451">
                  <a:extLst>
                    <a:ext uri="{FF2B5EF4-FFF2-40B4-BE49-F238E27FC236}">
                      <a16:creationId xmlns:a16="http://schemas.microsoft.com/office/drawing/2014/main" id="{00000000-0008-0000-0A00-0000EB000000}"/>
                    </a:ext>
                  </a:extLst>
                </xdr:cNvPr>
                <xdr:cNvGrpSpPr/>
              </xdr:nvGrpSpPr>
              <xdr:grpSpPr>
                <a:xfrm>
                  <a:off x="15211291" y="12043791"/>
                  <a:ext cx="2628002" cy="734845"/>
                  <a:chOff x="28594637" y="2081892"/>
                  <a:chExt cx="2433637" cy="585107"/>
                </a:xfrm>
              </xdr:grpSpPr>
              <xdr:sp macro="" textlink="">
                <xdr:nvSpPr>
                  <xdr:cNvPr id="457" name="Cheurón 456">
                    <a:extLst>
                      <a:ext uri="{FF2B5EF4-FFF2-40B4-BE49-F238E27FC236}">
                        <a16:creationId xmlns:a16="http://schemas.microsoft.com/office/drawing/2014/main" id="{00000000-0008-0000-0A00-0000F400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58" name="CuadroTexto 457">
                    <a:extLst>
                      <a:ext uri="{FF2B5EF4-FFF2-40B4-BE49-F238E27FC236}">
                        <a16:creationId xmlns:a16="http://schemas.microsoft.com/office/drawing/2014/main" id="{00000000-0008-0000-0A00-0000F5000000}"/>
                      </a:ext>
                    </a:extLst>
                  </xdr:cNvPr>
                  <xdr:cNvSpPr txBox="1"/>
                </xdr:nvSpPr>
                <xdr:spPr>
                  <a:xfrm>
                    <a:off x="2881925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X$7">
                <xdr:nvSpPr>
                  <xdr:cNvPr id="459" name="Rectángulo redondeado 458">
                    <a:extLst>
                      <a:ext uri="{FF2B5EF4-FFF2-40B4-BE49-F238E27FC236}">
                        <a16:creationId xmlns:a16="http://schemas.microsoft.com/office/drawing/2014/main" id="{00000000-0008-0000-0A00-0000F6000000}"/>
                      </a:ext>
                    </a:extLst>
                  </xdr:cNvPr>
                  <xdr:cNvSpPr/>
                </xdr:nvSpPr>
                <xdr:spPr>
                  <a:xfrm>
                    <a:off x="30140480" y="2172799"/>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F34F973-5D83-4A9A-83AE-0C4B614CCB72}" type="TxLink">
                      <a:rPr lang="en-US" sz="1600" b="1" i="0" u="none" strike="noStrike">
                        <a:solidFill>
                          <a:srgbClr val="FFFF00"/>
                        </a:solidFill>
                        <a:latin typeface="Century Gothic"/>
                      </a:rPr>
                      <a:pPr algn="ctr"/>
                      <a:t>43,8%</a:t>
                    </a:fld>
                    <a:endParaRPr lang="es-CO" sz="2000">
                      <a:solidFill>
                        <a:srgbClr val="FFFF00"/>
                      </a:solidFill>
                    </a:endParaRPr>
                  </a:p>
                </xdr:txBody>
              </xdr:sp>
            </xdr:grpSp>
            <xdr:grpSp>
              <xdr:nvGrpSpPr>
                <xdr:cNvPr id="453" name="Grupo 452">
                  <a:extLst>
                    <a:ext uri="{FF2B5EF4-FFF2-40B4-BE49-F238E27FC236}">
                      <a16:creationId xmlns:a16="http://schemas.microsoft.com/office/drawing/2014/main" id="{00000000-0008-0000-0A00-000041020000}"/>
                    </a:ext>
                  </a:extLst>
                </xdr:cNvPr>
                <xdr:cNvGrpSpPr/>
              </xdr:nvGrpSpPr>
              <xdr:grpSpPr>
                <a:xfrm>
                  <a:off x="16866173" y="12511855"/>
                  <a:ext cx="828000" cy="282574"/>
                  <a:chOff x="16866173" y="12618680"/>
                  <a:chExt cx="828000" cy="282574"/>
                </a:xfrm>
              </xdr:grpSpPr>
              <xdr:sp macro="" textlink="$W$7">
                <xdr:nvSpPr>
                  <xdr:cNvPr id="454" name="Rectángulo 453">
                    <a:extLst>
                      <a:ext uri="{FF2B5EF4-FFF2-40B4-BE49-F238E27FC236}">
                        <a16:creationId xmlns:a16="http://schemas.microsoft.com/office/drawing/2014/main" id="{00000000-0008-0000-0A00-000011020000}"/>
                      </a:ext>
                    </a:extLst>
                  </xdr:cNvPr>
                  <xdr:cNvSpPr/>
                </xdr:nvSpPr>
                <xdr:spPr>
                  <a:xfrm>
                    <a:off x="16903592"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63503C0-8456-4376-875E-9AE23EE5EB89}" type="TxLink">
                      <a:rPr lang="en-US" sz="1100" b="1" i="0" u="none" strike="noStrike">
                        <a:solidFill>
                          <a:srgbClr val="FFFF00"/>
                        </a:solidFill>
                        <a:latin typeface="Century Gothic"/>
                      </a:rPr>
                      <a:pPr algn="ctr"/>
                      <a:t>7</a:t>
                    </a:fld>
                    <a:endParaRPr lang="es-CO" sz="1100" b="1">
                      <a:solidFill>
                        <a:srgbClr val="FFFF00"/>
                      </a:solidFill>
                    </a:endParaRPr>
                  </a:p>
                </xdr:txBody>
              </xdr:sp>
              <xdr:sp macro="" textlink="$M$7">
                <xdr:nvSpPr>
                  <xdr:cNvPr id="455" name="Rectángulo 454">
                    <a:extLst>
                      <a:ext uri="{FF2B5EF4-FFF2-40B4-BE49-F238E27FC236}">
                        <a16:creationId xmlns:a16="http://schemas.microsoft.com/office/drawing/2014/main" id="{00000000-0008-0000-0A00-000012020000}"/>
                      </a:ext>
                    </a:extLst>
                  </xdr:cNvPr>
                  <xdr:cNvSpPr/>
                </xdr:nvSpPr>
                <xdr:spPr>
                  <a:xfrm>
                    <a:off x="17198247"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739E6A-E8A6-4DB4-B440-F7B53EA53E0B}" type="TxLink">
                      <a:rPr lang="en-US" sz="1100" b="1" i="0" u="none" strike="noStrike">
                        <a:solidFill>
                          <a:srgbClr val="FFFF00"/>
                        </a:solidFill>
                        <a:latin typeface="Century Gothic"/>
                      </a:rPr>
                      <a:pPr algn="ctr"/>
                      <a:t>16</a:t>
                    </a:fld>
                    <a:endParaRPr lang="es-CO" sz="1100" b="1">
                      <a:solidFill>
                        <a:srgbClr val="FFFF00"/>
                      </a:solidFill>
                    </a:endParaRPr>
                  </a:p>
                </xdr:txBody>
              </xdr:sp>
              <xdr:sp macro="" textlink="">
                <xdr:nvSpPr>
                  <xdr:cNvPr id="456" name="CuadroTexto 455">
                    <a:extLst>
                      <a:ext uri="{FF2B5EF4-FFF2-40B4-BE49-F238E27FC236}">
                        <a16:creationId xmlns:a16="http://schemas.microsoft.com/office/drawing/2014/main" id="{00000000-0008-0000-0A00-000013020000}"/>
                      </a:ext>
                    </a:extLst>
                  </xdr:cNvPr>
                  <xdr:cNvSpPr txBox="1"/>
                </xdr:nvSpPr>
                <xdr:spPr>
                  <a:xfrm>
                    <a:off x="16866173" y="12618680"/>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34" name="Grupo 433">
                <a:extLst>
                  <a:ext uri="{FF2B5EF4-FFF2-40B4-BE49-F238E27FC236}">
                    <a16:creationId xmlns:a16="http://schemas.microsoft.com/office/drawing/2014/main" id="{00000000-0008-0000-0A00-00004A020000}"/>
                  </a:ext>
                </a:extLst>
              </xdr:cNvPr>
              <xdr:cNvGrpSpPr/>
            </xdr:nvGrpSpPr>
            <xdr:grpSpPr>
              <a:xfrm>
                <a:off x="17636047" y="12043791"/>
                <a:ext cx="2623084" cy="755383"/>
                <a:chOff x="17636047" y="12043791"/>
                <a:chExt cx="2623084" cy="755383"/>
              </a:xfrm>
            </xdr:grpSpPr>
            <xdr:grpSp>
              <xdr:nvGrpSpPr>
                <xdr:cNvPr id="444" name="Grupo 443">
                  <a:extLst>
                    <a:ext uri="{FF2B5EF4-FFF2-40B4-BE49-F238E27FC236}">
                      <a16:creationId xmlns:a16="http://schemas.microsoft.com/office/drawing/2014/main" id="{00000000-0008-0000-0A00-0000EC000000}"/>
                    </a:ext>
                  </a:extLst>
                </xdr:cNvPr>
                <xdr:cNvGrpSpPr/>
              </xdr:nvGrpSpPr>
              <xdr:grpSpPr>
                <a:xfrm>
                  <a:off x="17636047" y="12043791"/>
                  <a:ext cx="2623084" cy="734845"/>
                  <a:chOff x="28531632" y="2081892"/>
                  <a:chExt cx="2433638" cy="585107"/>
                </a:xfrm>
              </xdr:grpSpPr>
              <xdr:sp macro="" textlink="">
                <xdr:nvSpPr>
                  <xdr:cNvPr id="449" name="Cheurón 448">
                    <a:extLst>
                      <a:ext uri="{FF2B5EF4-FFF2-40B4-BE49-F238E27FC236}">
                        <a16:creationId xmlns:a16="http://schemas.microsoft.com/office/drawing/2014/main" id="{00000000-0008-0000-0A00-0000F100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50" name="CuadroTexto 449">
                    <a:extLst>
                      <a:ext uri="{FF2B5EF4-FFF2-40B4-BE49-F238E27FC236}">
                        <a16:creationId xmlns:a16="http://schemas.microsoft.com/office/drawing/2014/main" id="{00000000-0008-0000-0A00-0000F2000000}"/>
                      </a:ext>
                    </a:extLst>
                  </xdr:cNvPr>
                  <xdr:cNvSpPr txBox="1"/>
                </xdr:nvSpPr>
                <xdr:spPr>
                  <a:xfrm>
                    <a:off x="28789623" y="2127664"/>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X$8">
                <xdr:nvSpPr>
                  <xdr:cNvPr id="451" name="Rectángulo redondeado 450">
                    <a:extLst>
                      <a:ext uri="{FF2B5EF4-FFF2-40B4-BE49-F238E27FC236}">
                        <a16:creationId xmlns:a16="http://schemas.microsoft.com/office/drawing/2014/main" id="{00000000-0008-0000-0A00-0000F3000000}"/>
                      </a:ext>
                    </a:extLst>
                  </xdr:cNvPr>
                  <xdr:cNvSpPr/>
                </xdr:nvSpPr>
                <xdr:spPr>
                  <a:xfrm>
                    <a:off x="300900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8CDF26-B497-4F4C-88EF-7BC47AC9A248}" type="TxLink">
                      <a:rPr lang="en-US" sz="1600" b="1" i="0" u="none" strike="noStrike">
                        <a:solidFill>
                          <a:srgbClr val="FFFF00"/>
                        </a:solidFill>
                        <a:latin typeface="Century Gothic"/>
                      </a:rPr>
                      <a:pPr algn="ctr"/>
                      <a:t>-</a:t>
                    </a:fld>
                    <a:endParaRPr lang="es-CO" sz="3600">
                      <a:solidFill>
                        <a:srgbClr val="FFFF00"/>
                      </a:solidFill>
                    </a:endParaRPr>
                  </a:p>
                </xdr:txBody>
              </xdr:sp>
            </xdr:grpSp>
            <xdr:grpSp>
              <xdr:nvGrpSpPr>
                <xdr:cNvPr id="445" name="Grupo 444">
                  <a:extLst>
                    <a:ext uri="{FF2B5EF4-FFF2-40B4-BE49-F238E27FC236}">
                      <a16:creationId xmlns:a16="http://schemas.microsoft.com/office/drawing/2014/main" id="{00000000-0008-0000-0A00-000042020000}"/>
                    </a:ext>
                  </a:extLst>
                </xdr:cNvPr>
                <xdr:cNvGrpSpPr/>
              </xdr:nvGrpSpPr>
              <xdr:grpSpPr>
                <a:xfrm>
                  <a:off x="19306363" y="12514864"/>
                  <a:ext cx="828000" cy="284310"/>
                  <a:chOff x="19306363" y="12641831"/>
                  <a:chExt cx="828000" cy="284310"/>
                </a:xfrm>
              </xdr:grpSpPr>
              <xdr:sp macro="" textlink="$W$8">
                <xdr:nvSpPr>
                  <xdr:cNvPr id="446" name="Rectángulo 445">
                    <a:extLst>
                      <a:ext uri="{FF2B5EF4-FFF2-40B4-BE49-F238E27FC236}">
                        <a16:creationId xmlns:a16="http://schemas.microsoft.com/office/drawing/2014/main" id="{00000000-0008-0000-0A00-000014020000}"/>
                      </a:ext>
                    </a:extLst>
                  </xdr:cNvPr>
                  <xdr:cNvSpPr/>
                </xdr:nvSpPr>
                <xdr:spPr>
                  <a:xfrm>
                    <a:off x="19354359"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0DC61AD-423E-4F41-9802-80AE0BD735AA}"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M$8">
                <xdr:nvSpPr>
                  <xdr:cNvPr id="447" name="Rectángulo 446">
                    <a:extLst>
                      <a:ext uri="{FF2B5EF4-FFF2-40B4-BE49-F238E27FC236}">
                        <a16:creationId xmlns:a16="http://schemas.microsoft.com/office/drawing/2014/main" id="{00000000-0008-0000-0A00-000015020000}"/>
                      </a:ext>
                    </a:extLst>
                  </xdr:cNvPr>
                  <xdr:cNvSpPr/>
                </xdr:nvSpPr>
                <xdr:spPr>
                  <a:xfrm>
                    <a:off x="19649014"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4224BC8-A84E-4CC7-9402-4E91CABD00F0}"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
                <xdr:nvSpPr>
                  <xdr:cNvPr id="448" name="CuadroTexto 447">
                    <a:extLst>
                      <a:ext uri="{FF2B5EF4-FFF2-40B4-BE49-F238E27FC236}">
                        <a16:creationId xmlns:a16="http://schemas.microsoft.com/office/drawing/2014/main" id="{00000000-0008-0000-0A00-000016020000}"/>
                      </a:ext>
                    </a:extLst>
                  </xdr:cNvPr>
                  <xdr:cNvSpPr txBox="1"/>
                </xdr:nvSpPr>
                <xdr:spPr>
                  <a:xfrm>
                    <a:off x="19306363" y="12657871"/>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35" name="Grupo 434">
                <a:extLst>
                  <a:ext uri="{FF2B5EF4-FFF2-40B4-BE49-F238E27FC236}">
                    <a16:creationId xmlns:a16="http://schemas.microsoft.com/office/drawing/2014/main" id="{00000000-0008-0000-0A00-00004B020000}"/>
                  </a:ext>
                </a:extLst>
              </xdr:cNvPr>
              <xdr:cNvGrpSpPr/>
            </xdr:nvGrpSpPr>
            <xdr:grpSpPr>
              <a:xfrm>
                <a:off x="20055895" y="12043791"/>
                <a:ext cx="2623053" cy="750638"/>
                <a:chOff x="20055895" y="12043791"/>
                <a:chExt cx="2623053" cy="750638"/>
              </a:xfrm>
            </xdr:grpSpPr>
            <xdr:grpSp>
              <xdr:nvGrpSpPr>
                <xdr:cNvPr id="436" name="Grupo 435">
                  <a:extLst>
                    <a:ext uri="{FF2B5EF4-FFF2-40B4-BE49-F238E27FC236}">
                      <a16:creationId xmlns:a16="http://schemas.microsoft.com/office/drawing/2014/main" id="{00000000-0008-0000-0A00-0000ED000000}"/>
                    </a:ext>
                  </a:extLst>
                </xdr:cNvPr>
                <xdr:cNvGrpSpPr/>
              </xdr:nvGrpSpPr>
              <xdr:grpSpPr>
                <a:xfrm>
                  <a:off x="20055895" y="12043791"/>
                  <a:ext cx="2623053" cy="734845"/>
                  <a:chOff x="28468627" y="2081892"/>
                  <a:chExt cx="2433638" cy="585107"/>
                </a:xfrm>
              </xdr:grpSpPr>
              <xdr:sp macro="" textlink="">
                <xdr:nvSpPr>
                  <xdr:cNvPr id="441" name="Cheurón 440">
                    <a:extLst>
                      <a:ext uri="{FF2B5EF4-FFF2-40B4-BE49-F238E27FC236}">
                        <a16:creationId xmlns:a16="http://schemas.microsoft.com/office/drawing/2014/main" id="{00000000-0008-0000-0A00-0000EE00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42" name="CuadroTexto 441">
                    <a:extLst>
                      <a:ext uri="{FF2B5EF4-FFF2-40B4-BE49-F238E27FC236}">
                        <a16:creationId xmlns:a16="http://schemas.microsoft.com/office/drawing/2014/main" id="{00000000-0008-0000-0A00-0000EF000000}"/>
                      </a:ext>
                    </a:extLst>
                  </xdr:cNvPr>
                  <xdr:cNvSpPr txBox="1"/>
                </xdr:nvSpPr>
                <xdr:spPr>
                  <a:xfrm>
                    <a:off x="28782571"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X$9">
                <xdr:nvSpPr>
                  <xdr:cNvPr id="443" name="Rectángulo redondeado 442">
                    <a:extLst>
                      <a:ext uri="{FF2B5EF4-FFF2-40B4-BE49-F238E27FC236}">
                        <a16:creationId xmlns:a16="http://schemas.microsoft.com/office/drawing/2014/main" id="{00000000-0008-0000-0A00-0000F0000000}"/>
                      </a:ext>
                    </a:extLst>
                  </xdr:cNvPr>
                  <xdr:cNvSpPr/>
                </xdr:nvSpPr>
                <xdr:spPr>
                  <a:xfrm>
                    <a:off x="30000728"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2DE47A-E9F6-4335-9C10-C7DE47AA3C92}" type="TxLink">
                      <a:rPr lang="en-US" sz="1600" b="1" i="0" u="none" strike="noStrike">
                        <a:solidFill>
                          <a:srgbClr val="FFFF00"/>
                        </a:solidFill>
                        <a:latin typeface="Century Gothic"/>
                      </a:rPr>
                      <a:pPr algn="ctr"/>
                      <a:t>9,1%</a:t>
                    </a:fld>
                    <a:endParaRPr lang="es-CO" sz="2000">
                      <a:solidFill>
                        <a:srgbClr val="FFFF00"/>
                      </a:solidFill>
                    </a:endParaRPr>
                  </a:p>
                </xdr:txBody>
              </xdr:sp>
            </xdr:grpSp>
            <xdr:grpSp>
              <xdr:nvGrpSpPr>
                <xdr:cNvPr id="437" name="Grupo 436">
                  <a:extLst>
                    <a:ext uri="{FF2B5EF4-FFF2-40B4-BE49-F238E27FC236}">
                      <a16:creationId xmlns:a16="http://schemas.microsoft.com/office/drawing/2014/main" id="{00000000-0008-0000-0A00-000043020000}"/>
                    </a:ext>
                  </a:extLst>
                </xdr:cNvPr>
                <xdr:cNvGrpSpPr/>
              </xdr:nvGrpSpPr>
              <xdr:grpSpPr>
                <a:xfrm>
                  <a:off x="21739503" y="12503193"/>
                  <a:ext cx="825527" cy="291236"/>
                  <a:chOff x="21739503" y="12716750"/>
                  <a:chExt cx="825527" cy="291236"/>
                </a:xfrm>
              </xdr:grpSpPr>
              <xdr:sp macro="" textlink="$W$9">
                <xdr:nvSpPr>
                  <xdr:cNvPr id="438" name="Rectángulo 437">
                    <a:extLst>
                      <a:ext uri="{FF2B5EF4-FFF2-40B4-BE49-F238E27FC236}">
                        <a16:creationId xmlns:a16="http://schemas.microsoft.com/office/drawing/2014/main" id="{00000000-0008-0000-0A00-000017020000}"/>
                      </a:ext>
                    </a:extLst>
                  </xdr:cNvPr>
                  <xdr:cNvSpPr/>
                </xdr:nvSpPr>
                <xdr:spPr>
                  <a:xfrm>
                    <a:off x="21787499" y="12728421"/>
                    <a:ext cx="429527"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9DB3305-465B-413C-B3CE-C879BB8C0A15}"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M$9">
                <xdr:nvSpPr>
                  <xdr:cNvPr id="439" name="Rectángulo 438">
                    <a:extLst>
                      <a:ext uri="{FF2B5EF4-FFF2-40B4-BE49-F238E27FC236}">
                        <a16:creationId xmlns:a16="http://schemas.microsoft.com/office/drawing/2014/main" id="{00000000-0008-0000-0A00-000018020000}"/>
                      </a:ext>
                    </a:extLst>
                  </xdr:cNvPr>
                  <xdr:cNvSpPr/>
                </xdr:nvSpPr>
                <xdr:spPr>
                  <a:xfrm>
                    <a:off x="22079681" y="12728421"/>
                    <a:ext cx="422475"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717E7E2-A6FC-45DE-B762-033F705E15AD}" type="TxLink">
                      <a:rPr lang="en-US" sz="1100" b="1" i="0" u="none" strike="noStrike">
                        <a:solidFill>
                          <a:srgbClr val="FFFF00"/>
                        </a:solidFill>
                        <a:latin typeface="Century Gothic"/>
                      </a:rPr>
                      <a:pPr algn="ctr"/>
                      <a:t>22</a:t>
                    </a:fld>
                    <a:endParaRPr lang="es-CO" sz="1100" b="1">
                      <a:solidFill>
                        <a:srgbClr val="FFFF00"/>
                      </a:solidFill>
                    </a:endParaRPr>
                  </a:p>
                </xdr:txBody>
              </xdr:sp>
              <xdr:sp macro="" textlink="">
                <xdr:nvSpPr>
                  <xdr:cNvPr id="440" name="CuadroTexto 439">
                    <a:extLst>
                      <a:ext uri="{FF2B5EF4-FFF2-40B4-BE49-F238E27FC236}">
                        <a16:creationId xmlns:a16="http://schemas.microsoft.com/office/drawing/2014/main" id="{00000000-0008-0000-0A00-000019020000}"/>
                      </a:ext>
                    </a:extLst>
                  </xdr:cNvPr>
                  <xdr:cNvSpPr txBox="1"/>
                </xdr:nvSpPr>
                <xdr:spPr>
                  <a:xfrm>
                    <a:off x="21739503" y="12716750"/>
                    <a:ext cx="825527"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grpSp>
          <xdr:nvGrpSpPr>
            <xdr:cNvPr id="245" name="Grupo 244">
              <a:extLst>
                <a:ext uri="{FF2B5EF4-FFF2-40B4-BE49-F238E27FC236}">
                  <a16:creationId xmlns:a16="http://schemas.microsoft.com/office/drawing/2014/main" id="{00000000-0008-0000-0A00-000098020000}"/>
                </a:ext>
              </a:extLst>
            </xdr:cNvPr>
            <xdr:cNvGrpSpPr/>
          </xdr:nvGrpSpPr>
          <xdr:grpSpPr>
            <a:xfrm>
              <a:off x="12028652" y="12137153"/>
              <a:ext cx="10748820" cy="1556225"/>
              <a:chOff x="11993671" y="13258030"/>
              <a:chExt cx="10718416" cy="1543431"/>
            </a:xfrm>
          </xdr:grpSpPr>
          <xdr:grpSp>
            <xdr:nvGrpSpPr>
              <xdr:cNvPr id="337" name="Grupo 336">
                <a:extLst>
                  <a:ext uri="{FF2B5EF4-FFF2-40B4-BE49-F238E27FC236}">
                    <a16:creationId xmlns:a16="http://schemas.microsoft.com/office/drawing/2014/main" id="{00000000-0008-0000-0A00-00008E020000}"/>
                  </a:ext>
                </a:extLst>
              </xdr:cNvPr>
              <xdr:cNvGrpSpPr/>
            </xdr:nvGrpSpPr>
            <xdr:grpSpPr>
              <a:xfrm>
                <a:off x="12802141" y="13263561"/>
                <a:ext cx="2157046" cy="759759"/>
                <a:chOff x="12802141" y="13263561"/>
                <a:chExt cx="2157046" cy="759759"/>
              </a:xfrm>
            </xdr:grpSpPr>
            <xdr:grpSp>
              <xdr:nvGrpSpPr>
                <xdr:cNvPr id="422" name="Grupo 421">
                  <a:extLst>
                    <a:ext uri="{FF2B5EF4-FFF2-40B4-BE49-F238E27FC236}">
                      <a16:creationId xmlns:a16="http://schemas.microsoft.com/office/drawing/2014/main" id="{00000000-0008-0000-0A00-0000FC000000}"/>
                    </a:ext>
                  </a:extLst>
                </xdr:cNvPr>
                <xdr:cNvGrpSpPr/>
              </xdr:nvGrpSpPr>
              <xdr:grpSpPr>
                <a:xfrm>
                  <a:off x="12802141" y="13263561"/>
                  <a:ext cx="2157046" cy="732326"/>
                  <a:chOff x="28686311" y="2081892"/>
                  <a:chExt cx="2000250" cy="585107"/>
                </a:xfrm>
              </xdr:grpSpPr>
              <xdr:sp macro="" textlink="">
                <xdr:nvSpPr>
                  <xdr:cNvPr id="427" name="Cheurón 426">
                    <a:extLst>
                      <a:ext uri="{FF2B5EF4-FFF2-40B4-BE49-F238E27FC236}">
                        <a16:creationId xmlns:a16="http://schemas.microsoft.com/office/drawing/2014/main" id="{00000000-0008-0000-0A00-000024010000}"/>
                      </a:ext>
                    </a:extLst>
                  </xdr:cNvPr>
                  <xdr:cNvSpPr/>
                </xdr:nvSpPr>
                <xdr:spPr>
                  <a:xfrm>
                    <a:off x="2868631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28" name="CuadroTexto 427">
                    <a:extLst>
                      <a:ext uri="{FF2B5EF4-FFF2-40B4-BE49-F238E27FC236}">
                        <a16:creationId xmlns:a16="http://schemas.microsoft.com/office/drawing/2014/main" id="{00000000-0008-0000-0A00-000025010000}"/>
                      </a:ext>
                    </a:extLst>
                  </xdr:cNvPr>
                  <xdr:cNvSpPr txBox="1"/>
                </xdr:nvSpPr>
                <xdr:spPr>
                  <a:xfrm>
                    <a:off x="28878836" y="2159695"/>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X$10">
                <xdr:nvSpPr>
                  <xdr:cNvPr id="429" name="Rectángulo redondeado 428">
                    <a:extLst>
                      <a:ext uri="{FF2B5EF4-FFF2-40B4-BE49-F238E27FC236}">
                        <a16:creationId xmlns:a16="http://schemas.microsoft.com/office/drawing/2014/main" id="{00000000-0008-0000-0A00-000026010000}"/>
                      </a:ext>
                    </a:extLst>
                  </xdr:cNvPr>
                  <xdr:cNvSpPr/>
                </xdr:nvSpPr>
                <xdr:spPr>
                  <a:xfrm>
                    <a:off x="29808259" y="217277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4D29262-067F-47B6-AD49-B50B6129928F}" type="TxLink">
                      <a:rPr lang="en-US" sz="1600" b="1" i="0" u="none" strike="noStrike">
                        <a:solidFill>
                          <a:srgbClr val="FFFF00"/>
                        </a:solidFill>
                        <a:latin typeface="Century Gothic"/>
                      </a:rPr>
                      <a:pPr algn="ctr"/>
                      <a:t>20,0%</a:t>
                    </a:fld>
                    <a:endParaRPr lang="es-CO" sz="2000">
                      <a:solidFill>
                        <a:srgbClr val="FFFF00"/>
                      </a:solidFill>
                    </a:endParaRPr>
                  </a:p>
                </xdr:txBody>
              </xdr:sp>
            </xdr:grpSp>
            <xdr:grpSp>
              <xdr:nvGrpSpPr>
                <xdr:cNvPr id="423" name="Grupo 422">
                  <a:extLst>
                    <a:ext uri="{FF2B5EF4-FFF2-40B4-BE49-F238E27FC236}">
                      <a16:creationId xmlns:a16="http://schemas.microsoft.com/office/drawing/2014/main" id="{00000000-0008-0000-0A00-00004D020000}"/>
                    </a:ext>
                  </a:extLst>
                </xdr:cNvPr>
                <xdr:cNvGrpSpPr/>
              </xdr:nvGrpSpPr>
              <xdr:grpSpPr>
                <a:xfrm>
                  <a:off x="14002235" y="13732084"/>
                  <a:ext cx="828000" cy="291236"/>
                  <a:chOff x="14028212" y="13844651"/>
                  <a:chExt cx="828000" cy="291236"/>
                </a:xfrm>
              </xdr:grpSpPr>
              <xdr:sp macro="" textlink="$W$10">
                <xdr:nvSpPr>
                  <xdr:cNvPr id="424" name="Rectángulo 423">
                    <a:extLst>
                      <a:ext uri="{FF2B5EF4-FFF2-40B4-BE49-F238E27FC236}">
                        <a16:creationId xmlns:a16="http://schemas.microsoft.com/office/drawing/2014/main" id="{00000000-0008-0000-0A00-00001A020000}"/>
                      </a:ext>
                    </a:extLst>
                  </xdr:cNvPr>
                  <xdr:cNvSpPr/>
                </xdr:nvSpPr>
                <xdr:spPr>
                  <a:xfrm>
                    <a:off x="14084867" y="1386003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6A4229-9C9C-4597-8145-E6FCA2C547B7}"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M$10">
                <xdr:nvSpPr>
                  <xdr:cNvPr id="425" name="Rectángulo 424">
                    <a:extLst>
                      <a:ext uri="{FF2B5EF4-FFF2-40B4-BE49-F238E27FC236}">
                        <a16:creationId xmlns:a16="http://schemas.microsoft.com/office/drawing/2014/main" id="{00000000-0008-0000-0A00-00001B020000}"/>
                      </a:ext>
                    </a:extLst>
                  </xdr:cNvPr>
                  <xdr:cNvSpPr/>
                </xdr:nvSpPr>
                <xdr:spPr>
                  <a:xfrm>
                    <a:off x="14362204" y="1386003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A6F430-B0B9-4FB4-BB29-628E2AFDEFAA}" type="TxLink">
                      <a:rPr lang="en-US" sz="1100" b="1" i="0" u="none" strike="noStrike">
                        <a:solidFill>
                          <a:srgbClr val="FFFF00"/>
                        </a:solidFill>
                        <a:latin typeface="Century Gothic"/>
                      </a:rPr>
                      <a:pPr algn="ctr"/>
                      <a:t>15</a:t>
                    </a:fld>
                    <a:endParaRPr lang="es-CO" sz="1100" b="1">
                      <a:solidFill>
                        <a:srgbClr val="FFFF00"/>
                      </a:solidFill>
                    </a:endParaRPr>
                  </a:p>
                </xdr:txBody>
              </xdr:sp>
              <xdr:sp macro="" textlink="">
                <xdr:nvSpPr>
                  <xdr:cNvPr id="426" name="CuadroTexto 425">
                    <a:extLst>
                      <a:ext uri="{FF2B5EF4-FFF2-40B4-BE49-F238E27FC236}">
                        <a16:creationId xmlns:a16="http://schemas.microsoft.com/office/drawing/2014/main" id="{00000000-0008-0000-0A00-00001C020000}"/>
                      </a:ext>
                    </a:extLst>
                  </xdr:cNvPr>
                  <xdr:cNvSpPr txBox="1"/>
                </xdr:nvSpPr>
                <xdr:spPr>
                  <a:xfrm>
                    <a:off x="14028212" y="13844651"/>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38" name="Grupo 337">
                <a:extLst>
                  <a:ext uri="{FF2B5EF4-FFF2-40B4-BE49-F238E27FC236}">
                    <a16:creationId xmlns:a16="http://schemas.microsoft.com/office/drawing/2014/main" id="{00000000-0008-0000-0A00-00008F020000}"/>
                  </a:ext>
                </a:extLst>
              </xdr:cNvPr>
              <xdr:cNvGrpSpPr/>
            </xdr:nvGrpSpPr>
            <xdr:grpSpPr>
              <a:xfrm>
                <a:off x="14744310" y="13266331"/>
                <a:ext cx="2157048" cy="754021"/>
                <a:chOff x="14744310" y="13266331"/>
                <a:chExt cx="2157048" cy="754021"/>
              </a:xfrm>
            </xdr:grpSpPr>
            <xdr:grpSp>
              <xdr:nvGrpSpPr>
                <xdr:cNvPr id="414" name="Grupo 413">
                  <a:extLst>
                    <a:ext uri="{FF2B5EF4-FFF2-40B4-BE49-F238E27FC236}">
                      <a16:creationId xmlns:a16="http://schemas.microsoft.com/office/drawing/2014/main" id="{00000000-0008-0000-0A00-0000FD000000}"/>
                    </a:ext>
                  </a:extLst>
                </xdr:cNvPr>
                <xdr:cNvGrpSpPr/>
              </xdr:nvGrpSpPr>
              <xdr:grpSpPr>
                <a:xfrm>
                  <a:off x="14744310" y="13266331"/>
                  <a:ext cx="2157048" cy="732326"/>
                  <a:chOff x="28670251" y="2081892"/>
                  <a:chExt cx="2000250" cy="585107"/>
                </a:xfrm>
              </xdr:grpSpPr>
              <xdr:sp macro="" textlink="">
                <xdr:nvSpPr>
                  <xdr:cNvPr id="419" name="Cheurón 418">
                    <a:extLst>
                      <a:ext uri="{FF2B5EF4-FFF2-40B4-BE49-F238E27FC236}">
                        <a16:creationId xmlns:a16="http://schemas.microsoft.com/office/drawing/2014/main" id="{00000000-0008-0000-0A00-000021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20" name="CuadroTexto 419">
                    <a:extLst>
                      <a:ext uri="{FF2B5EF4-FFF2-40B4-BE49-F238E27FC236}">
                        <a16:creationId xmlns:a16="http://schemas.microsoft.com/office/drawing/2014/main" id="{00000000-0008-0000-0A00-000022010000}"/>
                      </a:ext>
                    </a:extLst>
                  </xdr:cNvPr>
                  <xdr:cNvSpPr txBox="1"/>
                </xdr:nvSpPr>
                <xdr:spPr>
                  <a:xfrm>
                    <a:off x="28867685" y="2166613"/>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X$11">
                <xdr:nvSpPr>
                  <xdr:cNvPr id="421" name="Rectángulo redondeado 420">
                    <a:extLst>
                      <a:ext uri="{FF2B5EF4-FFF2-40B4-BE49-F238E27FC236}">
                        <a16:creationId xmlns:a16="http://schemas.microsoft.com/office/drawing/2014/main" id="{00000000-0008-0000-0A00-000023010000}"/>
                      </a:ext>
                    </a:extLst>
                  </xdr:cNvPr>
                  <xdr:cNvSpPr/>
                </xdr:nvSpPr>
                <xdr:spPr>
                  <a:xfrm>
                    <a:off x="29779599"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54A2D8-3750-4A5F-A428-18DA045958AF}" type="TxLink">
                      <a:rPr lang="en-US" sz="1600" b="1" i="0" u="none" strike="noStrike">
                        <a:solidFill>
                          <a:srgbClr val="FFFF00"/>
                        </a:solidFill>
                        <a:latin typeface="Century Gothic"/>
                      </a:rPr>
                      <a:pPr algn="ctr"/>
                      <a:t>66,7%</a:t>
                    </a:fld>
                    <a:endParaRPr lang="es-CO" sz="2400">
                      <a:solidFill>
                        <a:srgbClr val="FFFF00"/>
                      </a:solidFill>
                    </a:endParaRPr>
                  </a:p>
                </xdr:txBody>
              </xdr:sp>
            </xdr:grpSp>
            <xdr:grpSp>
              <xdr:nvGrpSpPr>
                <xdr:cNvPr id="415" name="Grupo 414">
                  <a:extLst>
                    <a:ext uri="{FF2B5EF4-FFF2-40B4-BE49-F238E27FC236}">
                      <a16:creationId xmlns:a16="http://schemas.microsoft.com/office/drawing/2014/main" id="{00000000-0008-0000-0A00-00004E020000}"/>
                    </a:ext>
                  </a:extLst>
                </xdr:cNvPr>
                <xdr:cNvGrpSpPr/>
              </xdr:nvGrpSpPr>
              <xdr:grpSpPr>
                <a:xfrm>
                  <a:off x="15935931" y="13737775"/>
                  <a:ext cx="828000" cy="282577"/>
                  <a:chOff x="16013862" y="13850342"/>
                  <a:chExt cx="828000" cy="282577"/>
                </a:xfrm>
              </xdr:grpSpPr>
              <xdr:sp macro="" textlink="$W$11">
                <xdr:nvSpPr>
                  <xdr:cNvPr id="416" name="Rectángulo 415">
                    <a:extLst>
                      <a:ext uri="{FF2B5EF4-FFF2-40B4-BE49-F238E27FC236}">
                        <a16:creationId xmlns:a16="http://schemas.microsoft.com/office/drawing/2014/main" id="{00000000-0008-0000-0A00-00001D020000}"/>
                      </a:ext>
                    </a:extLst>
                  </xdr:cNvPr>
                  <xdr:cNvSpPr/>
                </xdr:nvSpPr>
                <xdr:spPr>
                  <a:xfrm>
                    <a:off x="16070517" y="13857065"/>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EAFE0EF-3CDD-41F9-B8FC-D90C684D3483}"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M$11">
                <xdr:nvSpPr>
                  <xdr:cNvPr id="417" name="Rectángulo 416">
                    <a:extLst>
                      <a:ext uri="{FF2B5EF4-FFF2-40B4-BE49-F238E27FC236}">
                        <a16:creationId xmlns:a16="http://schemas.microsoft.com/office/drawing/2014/main" id="{00000000-0008-0000-0A00-00001E020000}"/>
                      </a:ext>
                    </a:extLst>
                  </xdr:cNvPr>
                  <xdr:cNvSpPr/>
                </xdr:nvSpPr>
                <xdr:spPr>
                  <a:xfrm>
                    <a:off x="16365172" y="13857065"/>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E38CC8-3019-427A-9971-513FF790D8D3}"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
                <xdr:nvSpPr>
                  <xdr:cNvPr id="418" name="CuadroTexto 417">
                    <a:extLst>
                      <a:ext uri="{FF2B5EF4-FFF2-40B4-BE49-F238E27FC236}">
                        <a16:creationId xmlns:a16="http://schemas.microsoft.com/office/drawing/2014/main" id="{00000000-0008-0000-0A00-00001F020000}"/>
                      </a:ext>
                    </a:extLst>
                  </xdr:cNvPr>
                  <xdr:cNvSpPr txBox="1"/>
                </xdr:nvSpPr>
                <xdr:spPr>
                  <a:xfrm>
                    <a:off x="16013862" y="13850342"/>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39" name="Grupo 338">
                <a:extLst>
                  <a:ext uri="{FF2B5EF4-FFF2-40B4-BE49-F238E27FC236}">
                    <a16:creationId xmlns:a16="http://schemas.microsoft.com/office/drawing/2014/main" id="{00000000-0008-0000-0A00-000090020000}"/>
                  </a:ext>
                </a:extLst>
              </xdr:cNvPr>
              <xdr:cNvGrpSpPr/>
            </xdr:nvGrpSpPr>
            <xdr:grpSpPr>
              <a:xfrm>
                <a:off x="16703763" y="13269100"/>
                <a:ext cx="2157047" cy="752614"/>
                <a:chOff x="16703763" y="13269100"/>
                <a:chExt cx="2157047" cy="752614"/>
              </a:xfrm>
            </xdr:grpSpPr>
            <xdr:grpSp>
              <xdr:nvGrpSpPr>
                <xdr:cNvPr id="406" name="Grupo 405">
                  <a:extLst>
                    <a:ext uri="{FF2B5EF4-FFF2-40B4-BE49-F238E27FC236}">
                      <a16:creationId xmlns:a16="http://schemas.microsoft.com/office/drawing/2014/main" id="{00000000-0008-0000-0A00-0000FE000000}"/>
                    </a:ext>
                  </a:extLst>
                </xdr:cNvPr>
                <xdr:cNvGrpSpPr/>
              </xdr:nvGrpSpPr>
              <xdr:grpSpPr>
                <a:xfrm>
                  <a:off x="16703763" y="13269100"/>
                  <a:ext cx="2157047" cy="732326"/>
                  <a:chOff x="28670251" y="2081892"/>
                  <a:chExt cx="2000250" cy="585107"/>
                </a:xfrm>
              </xdr:grpSpPr>
              <xdr:sp macro="" textlink="">
                <xdr:nvSpPr>
                  <xdr:cNvPr id="411" name="Cheurón 410">
                    <a:extLst>
                      <a:ext uri="{FF2B5EF4-FFF2-40B4-BE49-F238E27FC236}">
                        <a16:creationId xmlns:a16="http://schemas.microsoft.com/office/drawing/2014/main" id="{00000000-0008-0000-0A00-00001E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12" name="CuadroTexto 411">
                    <a:extLst>
                      <a:ext uri="{FF2B5EF4-FFF2-40B4-BE49-F238E27FC236}">
                        <a16:creationId xmlns:a16="http://schemas.microsoft.com/office/drawing/2014/main" id="{00000000-0008-0000-0A00-00001F010000}"/>
                      </a:ext>
                    </a:extLst>
                  </xdr:cNvPr>
                  <xdr:cNvSpPr txBox="1"/>
                </xdr:nvSpPr>
                <xdr:spPr>
                  <a:xfrm>
                    <a:off x="28872820" y="2159695"/>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X$12">
                <xdr:nvSpPr>
                  <xdr:cNvPr id="413" name="Rectángulo redondeado 412">
                    <a:extLst>
                      <a:ext uri="{FF2B5EF4-FFF2-40B4-BE49-F238E27FC236}">
                        <a16:creationId xmlns:a16="http://schemas.microsoft.com/office/drawing/2014/main" id="{00000000-0008-0000-0A00-000020010000}"/>
                      </a:ext>
                    </a:extLst>
                  </xdr:cNvPr>
                  <xdr:cNvSpPr/>
                </xdr:nvSpPr>
                <xdr:spPr>
                  <a:xfrm>
                    <a:off x="29784173"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051F927-3B12-48F1-A3BE-D947120F6982}" type="TxLink">
                      <a:rPr lang="en-US" sz="1600" b="1" i="0" u="none" strike="noStrike">
                        <a:solidFill>
                          <a:srgbClr val="FFFF00"/>
                        </a:solidFill>
                        <a:latin typeface="Century Gothic"/>
                      </a:rPr>
                      <a:pPr algn="ctr"/>
                      <a:t>30,8%</a:t>
                    </a:fld>
                    <a:endParaRPr lang="es-CO" sz="2400">
                      <a:solidFill>
                        <a:srgbClr val="FFFF00"/>
                      </a:solidFill>
                    </a:endParaRPr>
                  </a:p>
                </xdr:txBody>
              </xdr:sp>
            </xdr:grpSp>
            <xdr:grpSp>
              <xdr:nvGrpSpPr>
                <xdr:cNvPr id="407" name="Grupo 406">
                  <a:extLst>
                    <a:ext uri="{FF2B5EF4-FFF2-40B4-BE49-F238E27FC236}">
                      <a16:creationId xmlns:a16="http://schemas.microsoft.com/office/drawing/2014/main" id="{00000000-0008-0000-0A00-00004F020000}"/>
                    </a:ext>
                  </a:extLst>
                </xdr:cNvPr>
                <xdr:cNvGrpSpPr/>
              </xdr:nvGrpSpPr>
              <xdr:grpSpPr>
                <a:xfrm>
                  <a:off x="17898080" y="13739137"/>
                  <a:ext cx="828000" cy="282577"/>
                  <a:chOff x="17993329" y="13851704"/>
                  <a:chExt cx="828000" cy="282577"/>
                </a:xfrm>
              </xdr:grpSpPr>
              <xdr:sp macro="" textlink="$W$12">
                <xdr:nvSpPr>
                  <xdr:cNvPr id="408" name="Rectángulo 407">
                    <a:extLst>
                      <a:ext uri="{FF2B5EF4-FFF2-40B4-BE49-F238E27FC236}">
                        <a16:creationId xmlns:a16="http://schemas.microsoft.com/office/drawing/2014/main" id="{00000000-0008-0000-0A00-000020020000}"/>
                      </a:ext>
                    </a:extLst>
                  </xdr:cNvPr>
                  <xdr:cNvSpPr/>
                </xdr:nvSpPr>
                <xdr:spPr>
                  <a:xfrm>
                    <a:off x="18032666" y="1385842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D5895A2-D268-4C1B-9262-0E77DA109EE5}"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M$12">
                <xdr:nvSpPr>
                  <xdr:cNvPr id="409" name="Rectángulo 408">
                    <a:extLst>
                      <a:ext uri="{FF2B5EF4-FFF2-40B4-BE49-F238E27FC236}">
                        <a16:creationId xmlns:a16="http://schemas.microsoft.com/office/drawing/2014/main" id="{00000000-0008-0000-0A00-000021020000}"/>
                      </a:ext>
                    </a:extLst>
                  </xdr:cNvPr>
                  <xdr:cNvSpPr/>
                </xdr:nvSpPr>
                <xdr:spPr>
                  <a:xfrm>
                    <a:off x="18327321" y="1385842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7BDD045-B982-4B6B-B1AB-57A04DA7679D}"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410" name="CuadroTexto 409">
                    <a:extLst>
                      <a:ext uri="{FF2B5EF4-FFF2-40B4-BE49-F238E27FC236}">
                        <a16:creationId xmlns:a16="http://schemas.microsoft.com/office/drawing/2014/main" id="{00000000-0008-0000-0A00-000022020000}"/>
                      </a:ext>
                    </a:extLst>
                  </xdr:cNvPr>
                  <xdr:cNvSpPr txBox="1"/>
                </xdr:nvSpPr>
                <xdr:spPr>
                  <a:xfrm>
                    <a:off x="17993329" y="13851704"/>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0" name="Grupo 339">
                <a:extLst>
                  <a:ext uri="{FF2B5EF4-FFF2-40B4-BE49-F238E27FC236}">
                    <a16:creationId xmlns:a16="http://schemas.microsoft.com/office/drawing/2014/main" id="{00000000-0008-0000-0A00-000091020000}"/>
                  </a:ext>
                </a:extLst>
              </xdr:cNvPr>
              <xdr:cNvGrpSpPr/>
            </xdr:nvGrpSpPr>
            <xdr:grpSpPr>
              <a:xfrm>
                <a:off x="18649578" y="13258030"/>
                <a:ext cx="2140161" cy="771849"/>
                <a:chOff x="18649578" y="13258030"/>
                <a:chExt cx="2140161" cy="771849"/>
              </a:xfrm>
            </xdr:grpSpPr>
            <xdr:grpSp>
              <xdr:nvGrpSpPr>
                <xdr:cNvPr id="398" name="Grupo 397">
                  <a:extLst>
                    <a:ext uri="{FF2B5EF4-FFF2-40B4-BE49-F238E27FC236}">
                      <a16:creationId xmlns:a16="http://schemas.microsoft.com/office/drawing/2014/main" id="{00000000-0008-0000-0A00-0000FF000000}"/>
                    </a:ext>
                  </a:extLst>
                </xdr:cNvPr>
                <xdr:cNvGrpSpPr/>
              </xdr:nvGrpSpPr>
              <xdr:grpSpPr>
                <a:xfrm>
                  <a:off x="18649578" y="13258030"/>
                  <a:ext cx="2140161" cy="732326"/>
                  <a:chOff x="28670251" y="2081892"/>
                  <a:chExt cx="2025093" cy="585107"/>
                </a:xfrm>
              </xdr:grpSpPr>
              <xdr:sp macro="" textlink="">
                <xdr:nvSpPr>
                  <xdr:cNvPr id="403" name="Cheurón 402">
                    <a:extLst>
                      <a:ext uri="{FF2B5EF4-FFF2-40B4-BE49-F238E27FC236}">
                        <a16:creationId xmlns:a16="http://schemas.microsoft.com/office/drawing/2014/main" id="{00000000-0008-0000-0A00-00001B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04" name="CuadroTexto 403">
                    <a:extLst>
                      <a:ext uri="{FF2B5EF4-FFF2-40B4-BE49-F238E27FC236}">
                        <a16:creationId xmlns:a16="http://schemas.microsoft.com/office/drawing/2014/main" id="{00000000-0008-0000-0A00-00001C010000}"/>
                      </a:ext>
                    </a:extLst>
                  </xdr:cNvPr>
                  <xdr:cNvSpPr txBox="1"/>
                </xdr:nvSpPr>
                <xdr:spPr>
                  <a:xfrm>
                    <a:off x="28759318" y="2166613"/>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X$13">
                <xdr:nvSpPr>
                  <xdr:cNvPr id="405" name="Rectángulo redondeado 404">
                    <a:extLst>
                      <a:ext uri="{FF2B5EF4-FFF2-40B4-BE49-F238E27FC236}">
                        <a16:creationId xmlns:a16="http://schemas.microsoft.com/office/drawing/2014/main" id="{00000000-0008-0000-0A00-00001D010000}"/>
                      </a:ext>
                    </a:extLst>
                  </xdr:cNvPr>
                  <xdr:cNvSpPr/>
                </xdr:nvSpPr>
                <xdr:spPr>
                  <a:xfrm>
                    <a:off x="29810881" y="2176914"/>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2342E4-25D1-4010-A4B3-4A5FC635A550}"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99" name="Grupo 398">
                  <a:extLst>
                    <a:ext uri="{FF2B5EF4-FFF2-40B4-BE49-F238E27FC236}">
                      <a16:creationId xmlns:a16="http://schemas.microsoft.com/office/drawing/2014/main" id="{00000000-0008-0000-0A00-000050020000}"/>
                    </a:ext>
                  </a:extLst>
                </xdr:cNvPr>
                <xdr:cNvGrpSpPr/>
              </xdr:nvGrpSpPr>
              <xdr:grpSpPr>
                <a:xfrm>
                  <a:off x="19802083" y="13747302"/>
                  <a:ext cx="825525" cy="282577"/>
                  <a:chOff x="19905991" y="13859869"/>
                  <a:chExt cx="825525" cy="282577"/>
                </a:xfrm>
              </xdr:grpSpPr>
              <xdr:sp macro="" textlink="">
                <xdr:nvSpPr>
                  <xdr:cNvPr id="400" name="CuadroTexto 399">
                    <a:extLst>
                      <a:ext uri="{FF2B5EF4-FFF2-40B4-BE49-F238E27FC236}">
                        <a16:creationId xmlns:a16="http://schemas.microsoft.com/office/drawing/2014/main" id="{00000000-0008-0000-0A00-000025020000}"/>
                      </a:ext>
                    </a:extLst>
                  </xdr:cNvPr>
                  <xdr:cNvSpPr txBox="1"/>
                </xdr:nvSpPr>
                <xdr:spPr>
                  <a:xfrm>
                    <a:off x="19905991" y="1385986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13">
                <xdr:nvSpPr>
                  <xdr:cNvPr id="401" name="Rectángulo 400">
                    <a:extLst>
                      <a:ext uri="{FF2B5EF4-FFF2-40B4-BE49-F238E27FC236}">
                        <a16:creationId xmlns:a16="http://schemas.microsoft.com/office/drawing/2014/main" id="{00000000-0008-0000-0A00-000029020000}"/>
                      </a:ext>
                    </a:extLst>
                  </xdr:cNvPr>
                  <xdr:cNvSpPr/>
                </xdr:nvSpPr>
                <xdr:spPr>
                  <a:xfrm>
                    <a:off x="19958696" y="1386659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00A1535-C3CB-4AC3-A8A6-BF5F851A351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13">
                <xdr:nvSpPr>
                  <xdr:cNvPr id="402" name="Rectángulo 401">
                    <a:extLst>
                      <a:ext uri="{FF2B5EF4-FFF2-40B4-BE49-F238E27FC236}">
                        <a16:creationId xmlns:a16="http://schemas.microsoft.com/office/drawing/2014/main" id="{00000000-0008-0000-0A00-00002A020000}"/>
                      </a:ext>
                    </a:extLst>
                  </xdr:cNvPr>
                  <xdr:cNvSpPr/>
                </xdr:nvSpPr>
                <xdr:spPr>
                  <a:xfrm>
                    <a:off x="20253351" y="1386659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DEFB23-7997-4125-ACA2-5AD283EF8239}" type="TxLink">
                      <a:rPr lang="en-US" sz="1100" b="1" i="0" u="none" strike="noStrike">
                        <a:solidFill>
                          <a:srgbClr val="FFFF00"/>
                        </a:solidFill>
                        <a:latin typeface="Century Gothic"/>
                      </a:rPr>
                      <a:pPr algn="ctr"/>
                      <a:t>17</a:t>
                    </a:fld>
                    <a:endParaRPr lang="es-CO" sz="1100" b="1">
                      <a:solidFill>
                        <a:srgbClr val="FFFF00"/>
                      </a:solidFill>
                    </a:endParaRPr>
                  </a:p>
                </xdr:txBody>
              </xdr:sp>
            </xdr:grpSp>
          </xdr:grpSp>
          <xdr:grpSp>
            <xdr:nvGrpSpPr>
              <xdr:cNvPr id="341" name="Grupo 340">
                <a:extLst>
                  <a:ext uri="{FF2B5EF4-FFF2-40B4-BE49-F238E27FC236}">
                    <a16:creationId xmlns:a16="http://schemas.microsoft.com/office/drawing/2014/main" id="{00000000-0008-0000-0A00-000006010000}"/>
                  </a:ext>
                </a:extLst>
              </xdr:cNvPr>
              <xdr:cNvGrpSpPr/>
            </xdr:nvGrpSpPr>
            <xdr:grpSpPr>
              <a:xfrm>
                <a:off x="11993671" y="13263576"/>
                <a:ext cx="719623" cy="1537885"/>
                <a:chOff x="27415455" y="8354785"/>
                <a:chExt cx="720610" cy="1512000"/>
              </a:xfrm>
            </xdr:grpSpPr>
            <xdr:sp macro="" textlink="">
              <xdr:nvSpPr>
                <xdr:cNvPr id="396" name="Rectángulo 395">
                  <a:extLst>
                    <a:ext uri="{FF2B5EF4-FFF2-40B4-BE49-F238E27FC236}">
                      <a16:creationId xmlns:a16="http://schemas.microsoft.com/office/drawing/2014/main" id="{00000000-0008-0000-0A00-000007010000}"/>
                    </a:ext>
                  </a:extLst>
                </xdr:cNvPr>
                <xdr:cNvSpPr/>
              </xdr:nvSpPr>
              <xdr:spPr>
                <a:xfrm>
                  <a:off x="27415455" y="8354785"/>
                  <a:ext cx="72061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97" name="CuadroTexto 396">
                  <a:extLst>
                    <a:ext uri="{FF2B5EF4-FFF2-40B4-BE49-F238E27FC236}">
                      <a16:creationId xmlns:a16="http://schemas.microsoft.com/office/drawing/2014/main" id="{00000000-0008-0000-0A00-000008010000}"/>
                    </a:ext>
                  </a:extLst>
                </xdr:cNvPr>
                <xdr:cNvSpPr txBox="1"/>
              </xdr:nvSpPr>
              <xdr:spPr>
                <a:xfrm rot="16200000">
                  <a:off x="27161406"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342" name="Grupo 341">
                <a:extLst>
                  <a:ext uri="{FF2B5EF4-FFF2-40B4-BE49-F238E27FC236}">
                    <a16:creationId xmlns:a16="http://schemas.microsoft.com/office/drawing/2014/main" id="{00000000-0008-0000-0A00-000092020000}"/>
                  </a:ext>
                </a:extLst>
              </xdr:cNvPr>
              <xdr:cNvGrpSpPr/>
            </xdr:nvGrpSpPr>
            <xdr:grpSpPr>
              <a:xfrm>
                <a:off x="20554737" y="13260800"/>
                <a:ext cx="2157047" cy="771677"/>
                <a:chOff x="20554737" y="13260800"/>
                <a:chExt cx="2157047" cy="771677"/>
              </a:xfrm>
            </xdr:grpSpPr>
            <xdr:grpSp>
              <xdr:nvGrpSpPr>
                <xdr:cNvPr id="388" name="Grupo 387">
                  <a:extLst>
                    <a:ext uri="{FF2B5EF4-FFF2-40B4-BE49-F238E27FC236}">
                      <a16:creationId xmlns:a16="http://schemas.microsoft.com/office/drawing/2014/main" id="{00000000-0008-0000-0A00-000000010000}"/>
                    </a:ext>
                  </a:extLst>
                </xdr:cNvPr>
                <xdr:cNvGrpSpPr/>
              </xdr:nvGrpSpPr>
              <xdr:grpSpPr>
                <a:xfrm>
                  <a:off x="20554737" y="13260800"/>
                  <a:ext cx="2157047" cy="732326"/>
                  <a:chOff x="28670251" y="2081892"/>
                  <a:chExt cx="2000250" cy="585107"/>
                </a:xfrm>
              </xdr:grpSpPr>
              <xdr:sp macro="" textlink="">
                <xdr:nvSpPr>
                  <xdr:cNvPr id="393" name="Cheurón 392">
                    <a:extLst>
                      <a:ext uri="{FF2B5EF4-FFF2-40B4-BE49-F238E27FC236}">
                        <a16:creationId xmlns:a16="http://schemas.microsoft.com/office/drawing/2014/main" id="{00000000-0008-0000-0A00-000018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94" name="CuadroTexto 393">
                    <a:extLst>
                      <a:ext uri="{FF2B5EF4-FFF2-40B4-BE49-F238E27FC236}">
                        <a16:creationId xmlns:a16="http://schemas.microsoft.com/office/drawing/2014/main" id="{00000000-0008-0000-0A00-000019010000}"/>
                      </a:ext>
                    </a:extLst>
                  </xdr:cNvPr>
                  <xdr:cNvSpPr txBox="1"/>
                </xdr:nvSpPr>
                <xdr:spPr>
                  <a:xfrm>
                    <a:off x="28869718" y="2159695"/>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X$14">
                <xdr:nvSpPr>
                  <xdr:cNvPr id="395" name="Rectángulo redondeado 394">
                    <a:extLst>
                      <a:ext uri="{FF2B5EF4-FFF2-40B4-BE49-F238E27FC236}">
                        <a16:creationId xmlns:a16="http://schemas.microsoft.com/office/drawing/2014/main" id="{00000000-0008-0000-0A00-00001A010000}"/>
                      </a:ext>
                    </a:extLst>
                  </xdr:cNvPr>
                  <xdr:cNvSpPr/>
                </xdr:nvSpPr>
                <xdr:spPr>
                  <a:xfrm>
                    <a:off x="29786518" y="216585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448F4F-D896-4DB7-8FA5-54982A0643CF}" type="TxLink">
                      <a:rPr lang="en-US" sz="1600" b="1" i="0" u="none" strike="noStrike">
                        <a:solidFill>
                          <a:srgbClr val="FFFF00"/>
                        </a:solidFill>
                        <a:latin typeface="Century Gothic"/>
                      </a:rPr>
                      <a:pPr algn="ctr"/>
                      <a:t>25,0%</a:t>
                    </a:fld>
                    <a:endParaRPr lang="es-CO" sz="2400">
                      <a:solidFill>
                        <a:srgbClr val="FFFF00"/>
                      </a:solidFill>
                    </a:endParaRPr>
                  </a:p>
                </xdr:txBody>
              </xdr:sp>
            </xdr:grpSp>
            <xdr:grpSp>
              <xdr:nvGrpSpPr>
                <xdr:cNvPr id="389" name="Grupo 388">
                  <a:extLst>
                    <a:ext uri="{FF2B5EF4-FFF2-40B4-BE49-F238E27FC236}">
                      <a16:creationId xmlns:a16="http://schemas.microsoft.com/office/drawing/2014/main" id="{00000000-0008-0000-0A00-000051020000}"/>
                    </a:ext>
                  </a:extLst>
                </xdr:cNvPr>
                <xdr:cNvGrpSpPr/>
              </xdr:nvGrpSpPr>
              <xdr:grpSpPr>
                <a:xfrm>
                  <a:off x="21720933" y="13741241"/>
                  <a:ext cx="825525" cy="291236"/>
                  <a:chOff x="21772887" y="13853808"/>
                  <a:chExt cx="825525" cy="291236"/>
                </a:xfrm>
              </xdr:grpSpPr>
              <xdr:sp macro="" textlink="">
                <xdr:nvSpPr>
                  <xdr:cNvPr id="390" name="CuadroTexto 389">
                    <a:extLst>
                      <a:ext uri="{FF2B5EF4-FFF2-40B4-BE49-F238E27FC236}">
                        <a16:creationId xmlns:a16="http://schemas.microsoft.com/office/drawing/2014/main" id="{00000000-0008-0000-0A00-00002B020000}"/>
                      </a:ext>
                    </a:extLst>
                  </xdr:cNvPr>
                  <xdr:cNvSpPr txBox="1"/>
                </xdr:nvSpPr>
                <xdr:spPr>
                  <a:xfrm>
                    <a:off x="21772887" y="1385380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14">
                <xdr:nvSpPr>
                  <xdr:cNvPr id="391" name="Rectángulo 390">
                    <a:extLst>
                      <a:ext uri="{FF2B5EF4-FFF2-40B4-BE49-F238E27FC236}">
                        <a16:creationId xmlns:a16="http://schemas.microsoft.com/office/drawing/2014/main" id="{00000000-0008-0000-0A00-00002C020000}"/>
                      </a:ext>
                    </a:extLst>
                  </xdr:cNvPr>
                  <xdr:cNvSpPr/>
                </xdr:nvSpPr>
                <xdr:spPr>
                  <a:xfrm>
                    <a:off x="21834251" y="13869190"/>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7B154D8-6472-42E4-B95E-922C4297A18C}"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M$14">
                <xdr:nvSpPr>
                  <xdr:cNvPr id="392" name="Rectángulo 391">
                    <a:extLst>
                      <a:ext uri="{FF2B5EF4-FFF2-40B4-BE49-F238E27FC236}">
                        <a16:creationId xmlns:a16="http://schemas.microsoft.com/office/drawing/2014/main" id="{00000000-0008-0000-0A00-00002D020000}"/>
                      </a:ext>
                    </a:extLst>
                  </xdr:cNvPr>
                  <xdr:cNvSpPr/>
                </xdr:nvSpPr>
                <xdr:spPr>
                  <a:xfrm>
                    <a:off x="22128906" y="1386919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65CFD2-C7A5-43DB-A4D1-4D4E0F861A9A}" type="TxLink">
                      <a:rPr lang="en-US" sz="1100" b="1" i="0" u="none" strike="noStrike">
                        <a:solidFill>
                          <a:srgbClr val="FFFF00"/>
                        </a:solidFill>
                        <a:latin typeface="Century Gothic"/>
                      </a:rPr>
                      <a:pPr algn="ctr"/>
                      <a:t>8</a:t>
                    </a:fld>
                    <a:endParaRPr lang="es-CO" sz="1100" b="1">
                      <a:solidFill>
                        <a:srgbClr val="FFFF00"/>
                      </a:solidFill>
                    </a:endParaRPr>
                  </a:p>
                </xdr:txBody>
              </xdr:sp>
            </xdr:grpSp>
          </xdr:grpSp>
          <xdr:grpSp>
            <xdr:nvGrpSpPr>
              <xdr:cNvPr id="343" name="Grupo 342">
                <a:extLst>
                  <a:ext uri="{FF2B5EF4-FFF2-40B4-BE49-F238E27FC236}">
                    <a16:creationId xmlns:a16="http://schemas.microsoft.com/office/drawing/2014/main" id="{00000000-0008-0000-0A00-000093020000}"/>
                  </a:ext>
                </a:extLst>
              </xdr:cNvPr>
              <xdr:cNvGrpSpPr/>
            </xdr:nvGrpSpPr>
            <xdr:grpSpPr>
              <a:xfrm>
                <a:off x="12841883" y="14055217"/>
                <a:ext cx="2157046" cy="732326"/>
                <a:chOff x="12841883" y="14055217"/>
                <a:chExt cx="2157046" cy="732326"/>
              </a:xfrm>
            </xdr:grpSpPr>
            <xdr:grpSp>
              <xdr:nvGrpSpPr>
                <xdr:cNvPr id="380" name="Grupo 379">
                  <a:extLst>
                    <a:ext uri="{FF2B5EF4-FFF2-40B4-BE49-F238E27FC236}">
                      <a16:creationId xmlns:a16="http://schemas.microsoft.com/office/drawing/2014/main" id="{00000000-0008-0000-0A00-000001010000}"/>
                    </a:ext>
                  </a:extLst>
                </xdr:cNvPr>
                <xdr:cNvGrpSpPr/>
              </xdr:nvGrpSpPr>
              <xdr:grpSpPr>
                <a:xfrm>
                  <a:off x="12841883" y="14055217"/>
                  <a:ext cx="2157046" cy="732326"/>
                  <a:chOff x="28670251" y="2081892"/>
                  <a:chExt cx="2000250" cy="585107"/>
                </a:xfrm>
              </xdr:grpSpPr>
              <xdr:sp macro="" textlink="">
                <xdr:nvSpPr>
                  <xdr:cNvPr id="385" name="Cheurón 384">
                    <a:extLst>
                      <a:ext uri="{FF2B5EF4-FFF2-40B4-BE49-F238E27FC236}">
                        <a16:creationId xmlns:a16="http://schemas.microsoft.com/office/drawing/2014/main" id="{00000000-0008-0000-0A00-000015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86" name="CuadroTexto 385">
                    <a:extLst>
                      <a:ext uri="{FF2B5EF4-FFF2-40B4-BE49-F238E27FC236}">
                        <a16:creationId xmlns:a16="http://schemas.microsoft.com/office/drawing/2014/main" id="{00000000-0008-0000-0A00-000016010000}"/>
                      </a:ext>
                    </a:extLst>
                  </xdr:cNvPr>
                  <xdr:cNvSpPr txBox="1"/>
                </xdr:nvSpPr>
                <xdr:spPr>
                  <a:xfrm>
                    <a:off x="28871628" y="2122198"/>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X$15">
                <xdr:nvSpPr>
                  <xdr:cNvPr id="387" name="Rectángulo redondeado 386">
                    <a:extLst>
                      <a:ext uri="{FF2B5EF4-FFF2-40B4-BE49-F238E27FC236}">
                        <a16:creationId xmlns:a16="http://schemas.microsoft.com/office/drawing/2014/main" id="{00000000-0008-0000-0A00-000017010000}"/>
                      </a:ext>
                    </a:extLst>
                  </xdr:cNvPr>
                  <xdr:cNvSpPr/>
                </xdr:nvSpPr>
                <xdr:spPr>
                  <a:xfrm>
                    <a:off x="297865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A1C168-88C8-459E-8849-6F73DE447FBF}"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81" name="Grupo 380">
                  <a:extLst>
                    <a:ext uri="{FF2B5EF4-FFF2-40B4-BE49-F238E27FC236}">
                      <a16:creationId xmlns:a16="http://schemas.microsoft.com/office/drawing/2014/main" id="{00000000-0008-0000-0A00-000058020000}"/>
                    </a:ext>
                  </a:extLst>
                </xdr:cNvPr>
                <xdr:cNvGrpSpPr/>
              </xdr:nvGrpSpPr>
              <xdr:grpSpPr>
                <a:xfrm>
                  <a:off x="14016091" y="14508357"/>
                  <a:ext cx="828000" cy="275854"/>
                  <a:chOff x="14016091" y="14799434"/>
                  <a:chExt cx="828000" cy="275854"/>
                </a:xfrm>
              </xdr:grpSpPr>
              <xdr:sp macro="" textlink="$W$15">
                <xdr:nvSpPr>
                  <xdr:cNvPr id="382" name="Rectángulo 381">
                    <a:extLst>
                      <a:ext uri="{FF2B5EF4-FFF2-40B4-BE49-F238E27FC236}">
                        <a16:creationId xmlns:a16="http://schemas.microsoft.com/office/drawing/2014/main" id="{00000000-0008-0000-0A00-00002E020000}"/>
                      </a:ext>
                    </a:extLst>
                  </xdr:cNvPr>
                  <xdr:cNvSpPr/>
                </xdr:nvSpPr>
                <xdr:spPr>
                  <a:xfrm>
                    <a:off x="14055428" y="1479943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ED91C-B6CD-44D6-9130-E8B591B5FF98}"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15">
                <xdr:nvSpPr>
                  <xdr:cNvPr id="383" name="Rectángulo 382">
                    <a:extLst>
                      <a:ext uri="{FF2B5EF4-FFF2-40B4-BE49-F238E27FC236}">
                        <a16:creationId xmlns:a16="http://schemas.microsoft.com/office/drawing/2014/main" id="{00000000-0008-0000-0A00-00002F020000}"/>
                      </a:ext>
                    </a:extLst>
                  </xdr:cNvPr>
                  <xdr:cNvSpPr/>
                </xdr:nvSpPr>
                <xdr:spPr>
                  <a:xfrm>
                    <a:off x="14350083" y="1479943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B0C1589-6ECA-40BC-BCD9-6834BA099E6B}"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
                <xdr:nvSpPr>
                  <xdr:cNvPr id="384" name="CuadroTexto 383">
                    <a:extLst>
                      <a:ext uri="{FF2B5EF4-FFF2-40B4-BE49-F238E27FC236}">
                        <a16:creationId xmlns:a16="http://schemas.microsoft.com/office/drawing/2014/main" id="{00000000-0008-0000-0A00-000030020000}"/>
                      </a:ext>
                    </a:extLst>
                  </xdr:cNvPr>
                  <xdr:cNvSpPr txBox="1"/>
                </xdr:nvSpPr>
                <xdr:spPr>
                  <a:xfrm>
                    <a:off x="14016091" y="14801370"/>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4" name="Grupo 343">
                <a:extLst>
                  <a:ext uri="{FF2B5EF4-FFF2-40B4-BE49-F238E27FC236}">
                    <a16:creationId xmlns:a16="http://schemas.microsoft.com/office/drawing/2014/main" id="{00000000-0008-0000-0A00-000094020000}"/>
                  </a:ext>
                </a:extLst>
              </xdr:cNvPr>
              <xdr:cNvGrpSpPr/>
            </xdr:nvGrpSpPr>
            <xdr:grpSpPr>
              <a:xfrm>
                <a:off x="14801381" y="14057986"/>
                <a:ext cx="2179254" cy="732326"/>
                <a:chOff x="14801381" y="14057986"/>
                <a:chExt cx="2179254" cy="732326"/>
              </a:xfrm>
            </xdr:grpSpPr>
            <xdr:grpSp>
              <xdr:nvGrpSpPr>
                <xdr:cNvPr id="372" name="Grupo 371">
                  <a:extLst>
                    <a:ext uri="{FF2B5EF4-FFF2-40B4-BE49-F238E27FC236}">
                      <a16:creationId xmlns:a16="http://schemas.microsoft.com/office/drawing/2014/main" id="{00000000-0008-0000-0A00-000002010000}"/>
                    </a:ext>
                  </a:extLst>
                </xdr:cNvPr>
                <xdr:cNvGrpSpPr/>
              </xdr:nvGrpSpPr>
              <xdr:grpSpPr>
                <a:xfrm>
                  <a:off x="14801381" y="14057986"/>
                  <a:ext cx="2179254" cy="732326"/>
                  <a:chOff x="28670251" y="2081892"/>
                  <a:chExt cx="2020842" cy="585107"/>
                </a:xfrm>
              </xdr:grpSpPr>
              <xdr:sp macro="" textlink="">
                <xdr:nvSpPr>
                  <xdr:cNvPr id="377" name="Cheurón 376">
                    <a:extLst>
                      <a:ext uri="{FF2B5EF4-FFF2-40B4-BE49-F238E27FC236}">
                        <a16:creationId xmlns:a16="http://schemas.microsoft.com/office/drawing/2014/main" id="{00000000-0008-0000-0A00-000012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78" name="CuadroTexto 377">
                    <a:extLst>
                      <a:ext uri="{FF2B5EF4-FFF2-40B4-BE49-F238E27FC236}">
                        <a16:creationId xmlns:a16="http://schemas.microsoft.com/office/drawing/2014/main" id="{00000000-0008-0000-0A00-000013010000}"/>
                      </a:ext>
                    </a:extLst>
                  </xdr:cNvPr>
                  <xdr:cNvSpPr txBox="1"/>
                </xdr:nvSpPr>
                <xdr:spPr>
                  <a:xfrm>
                    <a:off x="28789521" y="2122198"/>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X$16">
                <xdr:nvSpPr>
                  <xdr:cNvPr id="379" name="Rectángulo redondeado 378">
                    <a:extLst>
                      <a:ext uri="{FF2B5EF4-FFF2-40B4-BE49-F238E27FC236}">
                        <a16:creationId xmlns:a16="http://schemas.microsoft.com/office/drawing/2014/main" id="{00000000-0008-0000-0A00-000014010000}"/>
                      </a:ext>
                    </a:extLst>
                  </xdr:cNvPr>
                  <xdr:cNvSpPr/>
                </xdr:nvSpPr>
                <xdr:spPr>
                  <a:xfrm>
                    <a:off x="29824320"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9FA8D55-379B-4C49-B68E-A496E4B8911F}"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73" name="Grupo 372">
                  <a:extLst>
                    <a:ext uri="{FF2B5EF4-FFF2-40B4-BE49-F238E27FC236}">
                      <a16:creationId xmlns:a16="http://schemas.microsoft.com/office/drawing/2014/main" id="{00000000-0008-0000-0A00-000059020000}"/>
                    </a:ext>
                  </a:extLst>
                </xdr:cNvPr>
                <xdr:cNvGrpSpPr/>
              </xdr:nvGrpSpPr>
              <xdr:grpSpPr>
                <a:xfrm>
                  <a:off x="16010400" y="14508357"/>
                  <a:ext cx="828000" cy="275854"/>
                  <a:chOff x="16010400" y="14650231"/>
                  <a:chExt cx="828000" cy="275854"/>
                </a:xfrm>
              </xdr:grpSpPr>
              <xdr:sp macro="" textlink="$W$16">
                <xdr:nvSpPr>
                  <xdr:cNvPr id="374" name="Rectángulo 373">
                    <a:extLst>
                      <a:ext uri="{FF2B5EF4-FFF2-40B4-BE49-F238E27FC236}">
                        <a16:creationId xmlns:a16="http://schemas.microsoft.com/office/drawing/2014/main" id="{00000000-0008-0000-0A00-000031020000}"/>
                      </a:ext>
                    </a:extLst>
                  </xdr:cNvPr>
                  <xdr:cNvSpPr/>
                </xdr:nvSpPr>
                <xdr:spPr>
                  <a:xfrm>
                    <a:off x="16067055" y="1465023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B01D163-6886-4DD9-8A59-D6B59F4B724F}"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16">
                <xdr:nvSpPr>
                  <xdr:cNvPr id="375" name="Rectángulo 374">
                    <a:extLst>
                      <a:ext uri="{FF2B5EF4-FFF2-40B4-BE49-F238E27FC236}">
                        <a16:creationId xmlns:a16="http://schemas.microsoft.com/office/drawing/2014/main" id="{00000000-0008-0000-0A00-000032020000}"/>
                      </a:ext>
                    </a:extLst>
                  </xdr:cNvPr>
                  <xdr:cNvSpPr/>
                </xdr:nvSpPr>
                <xdr:spPr>
                  <a:xfrm>
                    <a:off x="16353051" y="1465023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63D6EBE-7451-4A5C-B0B7-1D5E485BA6EE}"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
                <xdr:nvSpPr>
                  <xdr:cNvPr id="376" name="CuadroTexto 375">
                    <a:extLst>
                      <a:ext uri="{FF2B5EF4-FFF2-40B4-BE49-F238E27FC236}">
                        <a16:creationId xmlns:a16="http://schemas.microsoft.com/office/drawing/2014/main" id="{00000000-0008-0000-0A00-000033020000}"/>
                      </a:ext>
                    </a:extLst>
                  </xdr:cNvPr>
                  <xdr:cNvSpPr txBox="1"/>
                </xdr:nvSpPr>
                <xdr:spPr>
                  <a:xfrm>
                    <a:off x="16010400" y="14652167"/>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5" name="Grupo 344">
                <a:extLst>
                  <a:ext uri="{FF2B5EF4-FFF2-40B4-BE49-F238E27FC236}">
                    <a16:creationId xmlns:a16="http://schemas.microsoft.com/office/drawing/2014/main" id="{00000000-0008-0000-0A00-000095020000}"/>
                  </a:ext>
                </a:extLst>
              </xdr:cNvPr>
              <xdr:cNvGrpSpPr/>
            </xdr:nvGrpSpPr>
            <xdr:grpSpPr>
              <a:xfrm>
                <a:off x="16747206" y="14046916"/>
                <a:ext cx="2192840" cy="737295"/>
                <a:chOff x="16747206" y="14046916"/>
                <a:chExt cx="2192840" cy="737295"/>
              </a:xfrm>
            </xdr:grpSpPr>
            <xdr:grpSp>
              <xdr:nvGrpSpPr>
                <xdr:cNvPr id="364" name="Grupo 363">
                  <a:extLst>
                    <a:ext uri="{FF2B5EF4-FFF2-40B4-BE49-F238E27FC236}">
                      <a16:creationId xmlns:a16="http://schemas.microsoft.com/office/drawing/2014/main" id="{00000000-0008-0000-0A00-000003010000}"/>
                    </a:ext>
                  </a:extLst>
                </xdr:cNvPr>
                <xdr:cNvGrpSpPr/>
              </xdr:nvGrpSpPr>
              <xdr:grpSpPr>
                <a:xfrm>
                  <a:off x="16747206" y="14046916"/>
                  <a:ext cx="2192840" cy="732326"/>
                  <a:chOff x="28670251" y="2081892"/>
                  <a:chExt cx="2033443" cy="585107"/>
                </a:xfrm>
              </xdr:grpSpPr>
              <xdr:sp macro="" textlink="">
                <xdr:nvSpPr>
                  <xdr:cNvPr id="369" name="Cheurón 368">
                    <a:extLst>
                      <a:ext uri="{FF2B5EF4-FFF2-40B4-BE49-F238E27FC236}">
                        <a16:creationId xmlns:a16="http://schemas.microsoft.com/office/drawing/2014/main" id="{00000000-0008-0000-0A00-00000F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70" name="CuadroTexto 369">
                    <a:extLst>
                      <a:ext uri="{FF2B5EF4-FFF2-40B4-BE49-F238E27FC236}">
                        <a16:creationId xmlns:a16="http://schemas.microsoft.com/office/drawing/2014/main" id="{00000000-0008-0000-0A00-000010010000}"/>
                      </a:ext>
                    </a:extLst>
                  </xdr:cNvPr>
                  <xdr:cNvSpPr txBox="1"/>
                </xdr:nvSpPr>
                <xdr:spPr>
                  <a:xfrm>
                    <a:off x="28782494" y="2119420"/>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X$17">
                <xdr:nvSpPr>
                  <xdr:cNvPr id="371" name="Rectángulo redondeado 370">
                    <a:extLst>
                      <a:ext uri="{FF2B5EF4-FFF2-40B4-BE49-F238E27FC236}">
                        <a16:creationId xmlns:a16="http://schemas.microsoft.com/office/drawing/2014/main" id="{00000000-0008-0000-0A00-000011010000}"/>
                      </a:ext>
                    </a:extLst>
                  </xdr:cNvPr>
                  <xdr:cNvSpPr/>
                </xdr:nvSpPr>
                <xdr:spPr>
                  <a:xfrm>
                    <a:off x="2983691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2E04FA-BB20-4632-880E-9FB7A7D3FB9D}"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65" name="Grupo 364">
                  <a:extLst>
                    <a:ext uri="{FF2B5EF4-FFF2-40B4-BE49-F238E27FC236}">
                      <a16:creationId xmlns:a16="http://schemas.microsoft.com/office/drawing/2014/main" id="{00000000-0008-0000-0A00-00005A020000}"/>
                    </a:ext>
                  </a:extLst>
                </xdr:cNvPr>
                <xdr:cNvGrpSpPr/>
              </xdr:nvGrpSpPr>
              <xdr:grpSpPr>
                <a:xfrm>
                  <a:off x="17963890" y="14508357"/>
                  <a:ext cx="828000" cy="275854"/>
                  <a:chOff x="17963890" y="14651593"/>
                  <a:chExt cx="828000" cy="275854"/>
                </a:xfrm>
              </xdr:grpSpPr>
              <xdr:sp macro="" textlink="$W$17">
                <xdr:nvSpPr>
                  <xdr:cNvPr id="366" name="Rectángulo 365">
                    <a:extLst>
                      <a:ext uri="{FF2B5EF4-FFF2-40B4-BE49-F238E27FC236}">
                        <a16:creationId xmlns:a16="http://schemas.microsoft.com/office/drawing/2014/main" id="{00000000-0008-0000-0A00-000034020000}"/>
                      </a:ext>
                    </a:extLst>
                  </xdr:cNvPr>
                  <xdr:cNvSpPr/>
                </xdr:nvSpPr>
                <xdr:spPr>
                  <a:xfrm>
                    <a:off x="18029204" y="1465159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F8BEB68E-5A2B-4C42-9408-B7C44874AC7D}"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17">
                <xdr:nvSpPr>
                  <xdr:cNvPr id="367" name="Rectángulo 366">
                    <a:extLst>
                      <a:ext uri="{FF2B5EF4-FFF2-40B4-BE49-F238E27FC236}">
                        <a16:creationId xmlns:a16="http://schemas.microsoft.com/office/drawing/2014/main" id="{00000000-0008-0000-0A00-000035020000}"/>
                      </a:ext>
                    </a:extLst>
                  </xdr:cNvPr>
                  <xdr:cNvSpPr/>
                </xdr:nvSpPr>
                <xdr:spPr>
                  <a:xfrm>
                    <a:off x="18315200" y="1465159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824BE72-C060-4699-A288-57BF987A9F22}" type="TxLink">
                      <a:rPr lang="en-US" sz="1100" b="1" i="0" u="none" strike="noStrike">
                        <a:solidFill>
                          <a:srgbClr val="FFFF00"/>
                        </a:solidFill>
                        <a:latin typeface="Century Gothic"/>
                      </a:rPr>
                      <a:pPr algn="ctr"/>
                      <a:t>14</a:t>
                    </a:fld>
                    <a:endParaRPr lang="es-CO" sz="1100" b="1">
                      <a:solidFill>
                        <a:srgbClr val="FFFF00"/>
                      </a:solidFill>
                    </a:endParaRPr>
                  </a:p>
                </xdr:txBody>
              </xdr:sp>
              <xdr:sp macro="" textlink="">
                <xdr:nvSpPr>
                  <xdr:cNvPr id="368" name="CuadroTexto 367">
                    <a:extLst>
                      <a:ext uri="{FF2B5EF4-FFF2-40B4-BE49-F238E27FC236}">
                        <a16:creationId xmlns:a16="http://schemas.microsoft.com/office/drawing/2014/main" id="{00000000-0008-0000-0A00-000036020000}"/>
                      </a:ext>
                    </a:extLst>
                  </xdr:cNvPr>
                  <xdr:cNvSpPr txBox="1"/>
                </xdr:nvSpPr>
                <xdr:spPr>
                  <a:xfrm>
                    <a:off x="17963890" y="14653529"/>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6" name="Grupo 345">
                <a:extLst>
                  <a:ext uri="{FF2B5EF4-FFF2-40B4-BE49-F238E27FC236}">
                    <a16:creationId xmlns:a16="http://schemas.microsoft.com/office/drawing/2014/main" id="{00000000-0008-0000-0A00-000096020000}"/>
                  </a:ext>
                </a:extLst>
              </xdr:cNvPr>
              <xdr:cNvGrpSpPr/>
            </xdr:nvGrpSpPr>
            <xdr:grpSpPr>
              <a:xfrm>
                <a:off x="18693068" y="14049686"/>
                <a:ext cx="2126570" cy="734525"/>
                <a:chOff x="18693068" y="14049686"/>
                <a:chExt cx="2126570" cy="734525"/>
              </a:xfrm>
            </xdr:grpSpPr>
            <xdr:grpSp>
              <xdr:nvGrpSpPr>
                <xdr:cNvPr id="356" name="Grupo 355">
                  <a:extLst>
                    <a:ext uri="{FF2B5EF4-FFF2-40B4-BE49-F238E27FC236}">
                      <a16:creationId xmlns:a16="http://schemas.microsoft.com/office/drawing/2014/main" id="{00000000-0008-0000-0A00-000004010000}"/>
                    </a:ext>
                  </a:extLst>
                </xdr:cNvPr>
                <xdr:cNvGrpSpPr/>
              </xdr:nvGrpSpPr>
              <xdr:grpSpPr>
                <a:xfrm>
                  <a:off x="18693068" y="14049686"/>
                  <a:ext cx="2126570" cy="732326"/>
                  <a:chOff x="28670251" y="2081892"/>
                  <a:chExt cx="2012232" cy="585107"/>
                </a:xfrm>
              </xdr:grpSpPr>
              <xdr:sp macro="" textlink="">
                <xdr:nvSpPr>
                  <xdr:cNvPr id="361" name="Cheurón 360">
                    <a:extLst>
                      <a:ext uri="{FF2B5EF4-FFF2-40B4-BE49-F238E27FC236}">
                        <a16:creationId xmlns:a16="http://schemas.microsoft.com/office/drawing/2014/main" id="{00000000-0008-0000-0A00-00000C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62" name="CuadroTexto 361">
                    <a:extLst>
                      <a:ext uri="{FF2B5EF4-FFF2-40B4-BE49-F238E27FC236}">
                        <a16:creationId xmlns:a16="http://schemas.microsoft.com/office/drawing/2014/main" id="{00000000-0008-0000-0A00-00000D010000}"/>
                      </a:ext>
                    </a:extLst>
                  </xdr:cNvPr>
                  <xdr:cNvSpPr txBox="1"/>
                </xdr:nvSpPr>
                <xdr:spPr>
                  <a:xfrm>
                    <a:off x="28911076" y="2122198"/>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X$18">
                <xdr:nvSpPr>
                  <xdr:cNvPr id="363" name="Rectángulo redondeado 362">
                    <a:extLst>
                      <a:ext uri="{FF2B5EF4-FFF2-40B4-BE49-F238E27FC236}">
                        <a16:creationId xmlns:a16="http://schemas.microsoft.com/office/drawing/2014/main" id="{00000000-0008-0000-0A00-00000E010000}"/>
                      </a:ext>
                    </a:extLst>
                  </xdr:cNvPr>
                  <xdr:cNvSpPr/>
                </xdr:nvSpPr>
                <xdr:spPr>
                  <a:xfrm>
                    <a:off x="29798021"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99FF71C-5B37-4321-A343-0DDDEBF3C1F3}" type="TxLink">
                      <a:rPr lang="en-US" sz="1600" b="1" i="0" u="none" strike="noStrike">
                        <a:solidFill>
                          <a:srgbClr val="FFFF00"/>
                        </a:solidFill>
                        <a:latin typeface="Century Gothic"/>
                      </a:rPr>
                      <a:pPr algn="ctr"/>
                      <a:t>66,7%</a:t>
                    </a:fld>
                    <a:endParaRPr lang="es-CO" sz="2400">
                      <a:solidFill>
                        <a:srgbClr val="FFFF00"/>
                      </a:solidFill>
                    </a:endParaRPr>
                  </a:p>
                </xdr:txBody>
              </xdr:sp>
            </xdr:grpSp>
            <xdr:grpSp>
              <xdr:nvGrpSpPr>
                <xdr:cNvPr id="357" name="Grupo 356">
                  <a:extLst>
                    <a:ext uri="{FF2B5EF4-FFF2-40B4-BE49-F238E27FC236}">
                      <a16:creationId xmlns:a16="http://schemas.microsoft.com/office/drawing/2014/main" id="{00000000-0008-0000-0A00-00005B020000}"/>
                    </a:ext>
                  </a:extLst>
                </xdr:cNvPr>
                <xdr:cNvGrpSpPr/>
              </xdr:nvGrpSpPr>
              <xdr:grpSpPr>
                <a:xfrm>
                  <a:off x="19859234" y="14508357"/>
                  <a:ext cx="825525" cy="275854"/>
                  <a:chOff x="19893870" y="14659758"/>
                  <a:chExt cx="825525" cy="275854"/>
                </a:xfrm>
              </xdr:grpSpPr>
              <xdr:sp macro="" textlink="">
                <xdr:nvSpPr>
                  <xdr:cNvPr id="358" name="CuadroTexto 357">
                    <a:extLst>
                      <a:ext uri="{FF2B5EF4-FFF2-40B4-BE49-F238E27FC236}">
                        <a16:creationId xmlns:a16="http://schemas.microsoft.com/office/drawing/2014/main" id="{00000000-0008-0000-0A00-000037020000}"/>
                      </a:ext>
                    </a:extLst>
                  </xdr:cNvPr>
                  <xdr:cNvSpPr txBox="1"/>
                </xdr:nvSpPr>
                <xdr:spPr>
                  <a:xfrm>
                    <a:off x="19893870" y="14661694"/>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18">
                <xdr:nvSpPr>
                  <xdr:cNvPr id="359" name="Rectángulo 358">
                    <a:extLst>
                      <a:ext uri="{FF2B5EF4-FFF2-40B4-BE49-F238E27FC236}">
                        <a16:creationId xmlns:a16="http://schemas.microsoft.com/office/drawing/2014/main" id="{00000000-0008-0000-0A00-000038020000}"/>
                      </a:ext>
                    </a:extLst>
                  </xdr:cNvPr>
                  <xdr:cNvSpPr/>
                </xdr:nvSpPr>
                <xdr:spPr>
                  <a:xfrm>
                    <a:off x="19955234" y="14659758"/>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9625F8A-E3FE-400D-A5B7-3FBCB4F94F11}"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M$18">
                <xdr:nvSpPr>
                  <xdr:cNvPr id="360" name="Rectángulo 359">
                    <a:extLst>
                      <a:ext uri="{FF2B5EF4-FFF2-40B4-BE49-F238E27FC236}">
                        <a16:creationId xmlns:a16="http://schemas.microsoft.com/office/drawing/2014/main" id="{00000000-0008-0000-0A00-000039020000}"/>
                      </a:ext>
                    </a:extLst>
                  </xdr:cNvPr>
                  <xdr:cNvSpPr/>
                </xdr:nvSpPr>
                <xdr:spPr>
                  <a:xfrm>
                    <a:off x="20241230" y="14659758"/>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648831B-91EC-4BC9-951A-D69FBE88BAC8}" type="TxLink">
                      <a:rPr lang="en-US" sz="1100" b="1" i="0" u="none" strike="noStrike">
                        <a:solidFill>
                          <a:srgbClr val="FFFF00"/>
                        </a:solidFill>
                        <a:latin typeface="Century Gothic"/>
                      </a:rPr>
                      <a:pPr algn="ctr"/>
                      <a:t>6</a:t>
                    </a:fld>
                    <a:endParaRPr lang="es-CO" sz="1100" b="1">
                      <a:solidFill>
                        <a:srgbClr val="FFFF00"/>
                      </a:solidFill>
                    </a:endParaRPr>
                  </a:p>
                </xdr:txBody>
              </xdr:sp>
            </xdr:grpSp>
          </xdr:grpSp>
          <xdr:grpSp>
            <xdr:nvGrpSpPr>
              <xdr:cNvPr id="347" name="Grupo 346">
                <a:extLst>
                  <a:ext uri="{FF2B5EF4-FFF2-40B4-BE49-F238E27FC236}">
                    <a16:creationId xmlns:a16="http://schemas.microsoft.com/office/drawing/2014/main" id="{00000000-0008-0000-0A00-000097020000}"/>
                  </a:ext>
                </a:extLst>
              </xdr:cNvPr>
              <xdr:cNvGrpSpPr/>
            </xdr:nvGrpSpPr>
            <xdr:grpSpPr>
              <a:xfrm>
                <a:off x="20598180" y="14052454"/>
                <a:ext cx="2113907" cy="732326"/>
                <a:chOff x="20598180" y="14052454"/>
                <a:chExt cx="2113907" cy="732326"/>
              </a:xfrm>
            </xdr:grpSpPr>
            <xdr:grpSp>
              <xdr:nvGrpSpPr>
                <xdr:cNvPr id="348" name="Grupo 347">
                  <a:extLst>
                    <a:ext uri="{FF2B5EF4-FFF2-40B4-BE49-F238E27FC236}">
                      <a16:creationId xmlns:a16="http://schemas.microsoft.com/office/drawing/2014/main" id="{00000000-0008-0000-0A00-000005010000}"/>
                    </a:ext>
                  </a:extLst>
                </xdr:cNvPr>
                <xdr:cNvGrpSpPr/>
              </xdr:nvGrpSpPr>
              <xdr:grpSpPr>
                <a:xfrm>
                  <a:off x="20598180" y="14052454"/>
                  <a:ext cx="2113907" cy="732326"/>
                  <a:chOff x="28670251" y="2081892"/>
                  <a:chExt cx="2000250" cy="585107"/>
                </a:xfrm>
              </xdr:grpSpPr>
              <xdr:sp macro="" textlink="">
                <xdr:nvSpPr>
                  <xdr:cNvPr id="353" name="Cheurón 352">
                    <a:extLst>
                      <a:ext uri="{FF2B5EF4-FFF2-40B4-BE49-F238E27FC236}">
                        <a16:creationId xmlns:a16="http://schemas.microsoft.com/office/drawing/2014/main" id="{00000000-0008-0000-0A00-000009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54" name="CuadroTexto 353">
                    <a:extLst>
                      <a:ext uri="{FF2B5EF4-FFF2-40B4-BE49-F238E27FC236}">
                        <a16:creationId xmlns:a16="http://schemas.microsoft.com/office/drawing/2014/main" id="{00000000-0008-0000-0A00-00000A010000}"/>
                      </a:ext>
                    </a:extLst>
                  </xdr:cNvPr>
                  <xdr:cNvSpPr txBox="1"/>
                </xdr:nvSpPr>
                <xdr:spPr>
                  <a:xfrm>
                    <a:off x="28842462"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X$19">
                <xdr:nvSpPr>
                  <xdr:cNvPr id="355" name="Rectángulo redondeado 354">
                    <a:extLst>
                      <a:ext uri="{FF2B5EF4-FFF2-40B4-BE49-F238E27FC236}">
                        <a16:creationId xmlns:a16="http://schemas.microsoft.com/office/drawing/2014/main" id="{00000000-0008-0000-0A00-00000B010000}"/>
                      </a:ext>
                    </a:extLst>
                  </xdr:cNvPr>
                  <xdr:cNvSpPr/>
                </xdr:nvSpPr>
                <xdr:spPr>
                  <a:xfrm>
                    <a:off x="29798022" y="2157577"/>
                    <a:ext cx="85044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FB7C1F-F51F-437F-90E9-0A6690DA48D6}"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49" name="Grupo 348">
                  <a:extLst>
                    <a:ext uri="{FF2B5EF4-FFF2-40B4-BE49-F238E27FC236}">
                      <a16:creationId xmlns:a16="http://schemas.microsoft.com/office/drawing/2014/main" id="{00000000-0008-0000-0A00-00005F020000}"/>
                    </a:ext>
                  </a:extLst>
                </xdr:cNvPr>
                <xdr:cNvGrpSpPr/>
              </xdr:nvGrpSpPr>
              <xdr:grpSpPr>
                <a:xfrm>
                  <a:off x="21778084" y="14508357"/>
                  <a:ext cx="825525" cy="275854"/>
                  <a:chOff x="21778084" y="14662356"/>
                  <a:chExt cx="825525" cy="275854"/>
                </a:xfrm>
              </xdr:grpSpPr>
              <xdr:sp macro="" textlink="">
                <xdr:nvSpPr>
                  <xdr:cNvPr id="350" name="CuadroTexto 349">
                    <a:extLst>
                      <a:ext uri="{FF2B5EF4-FFF2-40B4-BE49-F238E27FC236}">
                        <a16:creationId xmlns:a16="http://schemas.microsoft.com/office/drawing/2014/main" id="{00000000-0008-0000-0A00-00003A020000}"/>
                      </a:ext>
                    </a:extLst>
                  </xdr:cNvPr>
                  <xdr:cNvSpPr txBox="1"/>
                </xdr:nvSpPr>
                <xdr:spPr>
                  <a:xfrm>
                    <a:off x="21778084" y="1466429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19">
                <xdr:nvSpPr>
                  <xdr:cNvPr id="351" name="Rectángulo 350">
                    <a:extLst>
                      <a:ext uri="{FF2B5EF4-FFF2-40B4-BE49-F238E27FC236}">
                        <a16:creationId xmlns:a16="http://schemas.microsoft.com/office/drawing/2014/main" id="{00000000-0008-0000-0A00-00003B020000}"/>
                      </a:ext>
                    </a:extLst>
                  </xdr:cNvPr>
                  <xdr:cNvSpPr/>
                </xdr:nvSpPr>
                <xdr:spPr>
                  <a:xfrm>
                    <a:off x="21830789" y="1466235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3A16E2B-1C51-4627-AE6C-FC3504698EE4}"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19">
                <xdr:nvSpPr>
                  <xdr:cNvPr id="352" name="Rectángulo 351">
                    <a:extLst>
                      <a:ext uri="{FF2B5EF4-FFF2-40B4-BE49-F238E27FC236}">
                        <a16:creationId xmlns:a16="http://schemas.microsoft.com/office/drawing/2014/main" id="{00000000-0008-0000-0A00-00003C020000}"/>
                      </a:ext>
                    </a:extLst>
                  </xdr:cNvPr>
                  <xdr:cNvSpPr/>
                </xdr:nvSpPr>
                <xdr:spPr>
                  <a:xfrm>
                    <a:off x="22116785" y="1466235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3A018066-334A-4025-B06E-328DF615518E}" type="TxLink">
                      <a:rPr lang="en-US" sz="1100" b="1" i="0" u="none" strike="noStrike">
                        <a:solidFill>
                          <a:srgbClr val="FFFF00"/>
                        </a:solidFill>
                        <a:latin typeface="Century Gothic"/>
                      </a:rPr>
                      <a:pPr algn="ctr"/>
                      <a:t>3</a:t>
                    </a:fld>
                    <a:endParaRPr lang="es-CO" sz="1100" b="1">
                      <a:solidFill>
                        <a:srgbClr val="FFFF00"/>
                      </a:solidFill>
                    </a:endParaRPr>
                  </a:p>
                </xdr:txBody>
              </xdr:sp>
            </xdr:grpSp>
          </xdr:grpSp>
        </xdr:grpSp>
        <xdr:grpSp>
          <xdr:nvGrpSpPr>
            <xdr:cNvPr id="246" name="Grupo 245">
              <a:extLst>
                <a:ext uri="{FF2B5EF4-FFF2-40B4-BE49-F238E27FC236}">
                  <a16:creationId xmlns:a16="http://schemas.microsoft.com/office/drawing/2014/main" id="{00000000-0008-0000-0A00-00007F020000}"/>
                </a:ext>
              </a:extLst>
            </xdr:cNvPr>
            <xdr:cNvGrpSpPr/>
          </xdr:nvGrpSpPr>
          <xdr:grpSpPr>
            <a:xfrm>
              <a:off x="12023189" y="15669185"/>
              <a:ext cx="6951194" cy="1653631"/>
              <a:chOff x="11988224" y="16761025"/>
              <a:chExt cx="6931533" cy="1640037"/>
            </a:xfrm>
          </xdr:grpSpPr>
          <xdr:grpSp>
            <xdr:nvGrpSpPr>
              <xdr:cNvPr id="324" name="Grupo 323">
                <a:extLst>
                  <a:ext uri="{FF2B5EF4-FFF2-40B4-BE49-F238E27FC236}">
                    <a16:creationId xmlns:a16="http://schemas.microsoft.com/office/drawing/2014/main" id="{00000000-0008-0000-0A00-0000E0000000}"/>
                  </a:ext>
                </a:extLst>
              </xdr:cNvPr>
              <xdr:cNvGrpSpPr/>
            </xdr:nvGrpSpPr>
            <xdr:grpSpPr>
              <a:xfrm>
                <a:off x="11988224" y="16761025"/>
                <a:ext cx="719623" cy="1640037"/>
                <a:chOff x="27415385" y="8406495"/>
                <a:chExt cx="720130" cy="1610348"/>
              </a:xfrm>
            </xdr:grpSpPr>
            <xdr:sp macro="" textlink="">
              <xdr:nvSpPr>
                <xdr:cNvPr id="335" name="Rectángulo 334">
                  <a:extLst>
                    <a:ext uri="{FF2B5EF4-FFF2-40B4-BE49-F238E27FC236}">
                      <a16:creationId xmlns:a16="http://schemas.microsoft.com/office/drawing/2014/main" id="{00000000-0008-0000-0A00-0000E5000000}"/>
                    </a:ext>
                  </a:extLst>
                </xdr:cNvPr>
                <xdr:cNvSpPr/>
              </xdr:nvSpPr>
              <xdr:spPr>
                <a:xfrm>
                  <a:off x="27415385" y="8504462"/>
                  <a:ext cx="720130"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36" name="CuadroTexto 335">
                  <a:extLst>
                    <a:ext uri="{FF2B5EF4-FFF2-40B4-BE49-F238E27FC236}">
                      <a16:creationId xmlns:a16="http://schemas.microsoft.com/office/drawing/2014/main" id="{00000000-0008-0000-0A00-0000E6000000}"/>
                    </a:ext>
                  </a:extLst>
                </xdr:cNvPr>
                <xdr:cNvSpPr txBox="1"/>
              </xdr:nvSpPr>
              <xdr:spPr>
                <a:xfrm rot="16200000">
                  <a:off x="26970019"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325" name="Flecha abajo 324">
                <a:extLst>
                  <a:ext uri="{FF2B5EF4-FFF2-40B4-BE49-F238E27FC236}">
                    <a16:creationId xmlns:a16="http://schemas.microsoft.com/office/drawing/2014/main" id="{00000000-0008-0000-0A00-0000DF000000}"/>
                  </a:ext>
                </a:extLst>
              </xdr:cNvPr>
              <xdr:cNvSpPr/>
            </xdr:nvSpPr>
            <xdr:spPr>
              <a:xfrm rot="10800000">
                <a:off x="17373214" y="16880679"/>
                <a:ext cx="467671" cy="293310"/>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26" name="Grupo 325">
                <a:extLst>
                  <a:ext uri="{FF2B5EF4-FFF2-40B4-BE49-F238E27FC236}">
                    <a16:creationId xmlns:a16="http://schemas.microsoft.com/office/drawing/2014/main" id="{00000000-0008-0000-0A00-00007E020000}"/>
                  </a:ext>
                </a:extLst>
              </xdr:cNvPr>
              <xdr:cNvGrpSpPr/>
            </xdr:nvGrpSpPr>
            <xdr:grpSpPr>
              <a:xfrm>
                <a:off x="16761275" y="17298378"/>
                <a:ext cx="2158482" cy="736372"/>
                <a:chOff x="16761275" y="17298378"/>
                <a:chExt cx="2158482" cy="736372"/>
              </a:xfrm>
            </xdr:grpSpPr>
            <xdr:grpSp>
              <xdr:nvGrpSpPr>
                <xdr:cNvPr id="327" name="Grupo 326">
                  <a:extLst>
                    <a:ext uri="{FF2B5EF4-FFF2-40B4-BE49-F238E27FC236}">
                      <a16:creationId xmlns:a16="http://schemas.microsoft.com/office/drawing/2014/main" id="{00000000-0008-0000-0A00-0000E1000000}"/>
                    </a:ext>
                  </a:extLst>
                </xdr:cNvPr>
                <xdr:cNvGrpSpPr/>
              </xdr:nvGrpSpPr>
              <xdr:grpSpPr>
                <a:xfrm>
                  <a:off x="16761275" y="17298378"/>
                  <a:ext cx="2158482" cy="736372"/>
                  <a:chOff x="28351843" y="12455641"/>
                  <a:chExt cx="2160000" cy="723042"/>
                </a:xfrm>
              </xdr:grpSpPr>
              <xdr:sp macro="" textlink="">
                <xdr:nvSpPr>
                  <xdr:cNvPr id="332" name="Cheurón 331">
                    <a:extLst>
                      <a:ext uri="{FF2B5EF4-FFF2-40B4-BE49-F238E27FC236}">
                        <a16:creationId xmlns:a16="http://schemas.microsoft.com/office/drawing/2014/main" id="{00000000-0008-0000-0A00-0000E200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33" name="CuadroTexto 332">
                    <a:extLst>
                      <a:ext uri="{FF2B5EF4-FFF2-40B4-BE49-F238E27FC236}">
                        <a16:creationId xmlns:a16="http://schemas.microsoft.com/office/drawing/2014/main" id="{00000000-0008-0000-0A00-0000E3000000}"/>
                      </a:ext>
                    </a:extLst>
                  </xdr:cNvPr>
                  <xdr:cNvSpPr txBox="1"/>
                </xdr:nvSpPr>
                <xdr:spPr>
                  <a:xfrm>
                    <a:off x="28448411" y="12455641"/>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X$28">
                <xdr:nvSpPr>
                  <xdr:cNvPr id="334" name="Rectángulo redondeado 333">
                    <a:extLst>
                      <a:ext uri="{FF2B5EF4-FFF2-40B4-BE49-F238E27FC236}">
                        <a16:creationId xmlns:a16="http://schemas.microsoft.com/office/drawing/2014/main" id="{00000000-0008-0000-0A00-0000E4000000}"/>
                      </a:ext>
                    </a:extLst>
                  </xdr:cNvPr>
                  <xdr:cNvSpPr/>
                </xdr:nvSpPr>
                <xdr:spPr>
                  <a:xfrm>
                    <a:off x="29530050" y="12556922"/>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5B844AB-9ACB-41A6-9DAE-73EF6EAC849D}" type="TxLink">
                      <a:rPr lang="en-US" sz="1600" b="1" i="0" u="none" strike="noStrike">
                        <a:solidFill>
                          <a:srgbClr val="000000"/>
                        </a:solidFill>
                        <a:latin typeface="Century Gothic"/>
                      </a:rPr>
                      <a:pPr algn="ctr"/>
                      <a:t>-</a:t>
                    </a:fld>
                    <a:endParaRPr lang="es-CO" sz="5400">
                      <a:solidFill>
                        <a:schemeClr val="tx1">
                          <a:lumMod val="95000"/>
                          <a:lumOff val="5000"/>
                        </a:schemeClr>
                      </a:solidFill>
                    </a:endParaRPr>
                  </a:p>
                </xdr:txBody>
              </xdr:sp>
            </xdr:grpSp>
            <xdr:grpSp>
              <xdr:nvGrpSpPr>
                <xdr:cNvPr id="328" name="Grupo 327">
                  <a:extLst>
                    <a:ext uri="{FF2B5EF4-FFF2-40B4-BE49-F238E27FC236}">
                      <a16:creationId xmlns:a16="http://schemas.microsoft.com/office/drawing/2014/main" id="{00000000-0008-0000-0A00-00007D020000}"/>
                    </a:ext>
                  </a:extLst>
                </xdr:cNvPr>
                <xdr:cNvGrpSpPr/>
              </xdr:nvGrpSpPr>
              <xdr:grpSpPr>
                <a:xfrm>
                  <a:off x="17936902" y="17738133"/>
                  <a:ext cx="825525" cy="275854"/>
                  <a:chOff x="17936902" y="17919972"/>
                  <a:chExt cx="825525" cy="275854"/>
                </a:xfrm>
              </xdr:grpSpPr>
              <xdr:sp macro="" textlink="">
                <xdr:nvSpPr>
                  <xdr:cNvPr id="329" name="CuadroTexto 328">
                    <a:extLst>
                      <a:ext uri="{FF2B5EF4-FFF2-40B4-BE49-F238E27FC236}">
                        <a16:creationId xmlns:a16="http://schemas.microsoft.com/office/drawing/2014/main" id="{00000000-0008-0000-0A00-000075020000}"/>
                      </a:ext>
                    </a:extLst>
                  </xdr:cNvPr>
                  <xdr:cNvSpPr txBox="1"/>
                </xdr:nvSpPr>
                <xdr:spPr>
                  <a:xfrm>
                    <a:off x="17936902" y="1792190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chemeClr val="tx1">
                            <a:lumMod val="95000"/>
                            <a:lumOff val="5000"/>
                          </a:schemeClr>
                        </a:solidFill>
                        <a:latin typeface="Century Gothic" panose="020B0502020202020204" pitchFamily="34" charset="0"/>
                      </a:rPr>
                      <a:t>(</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  </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a:t>
                    </a:r>
                  </a:p>
                </xdr:txBody>
              </xdr:sp>
              <xdr:sp macro="" textlink="$W$28">
                <xdr:nvSpPr>
                  <xdr:cNvPr id="330" name="Rectángulo 329">
                    <a:extLst>
                      <a:ext uri="{FF2B5EF4-FFF2-40B4-BE49-F238E27FC236}">
                        <a16:creationId xmlns:a16="http://schemas.microsoft.com/office/drawing/2014/main" id="{00000000-0008-0000-0A00-000076020000}"/>
                      </a:ext>
                    </a:extLst>
                  </xdr:cNvPr>
                  <xdr:cNvSpPr/>
                </xdr:nvSpPr>
                <xdr:spPr>
                  <a:xfrm>
                    <a:off x="17989607" y="1791997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4D1A9E-5A82-4160-8A7B-468AADD86656}" type="TxLink">
                      <a:rPr lang="en-US" sz="1100" b="1" i="0" u="none" strike="noStrike">
                        <a:solidFill>
                          <a:schemeClr val="tx1">
                            <a:lumMod val="95000"/>
                            <a:lumOff val="5000"/>
                          </a:schemeClr>
                        </a:solidFill>
                        <a:latin typeface="Century Gothic"/>
                      </a:rPr>
                      <a:pPr algn="ctr"/>
                      <a:t>-</a:t>
                    </a:fld>
                    <a:endParaRPr lang="es-CO" sz="1100" b="1">
                      <a:solidFill>
                        <a:schemeClr val="tx1">
                          <a:lumMod val="95000"/>
                          <a:lumOff val="5000"/>
                        </a:schemeClr>
                      </a:solidFill>
                    </a:endParaRPr>
                  </a:p>
                </xdr:txBody>
              </xdr:sp>
              <xdr:sp macro="" textlink="$M$28">
                <xdr:nvSpPr>
                  <xdr:cNvPr id="331" name="Rectángulo 330">
                    <a:extLst>
                      <a:ext uri="{FF2B5EF4-FFF2-40B4-BE49-F238E27FC236}">
                        <a16:creationId xmlns:a16="http://schemas.microsoft.com/office/drawing/2014/main" id="{00000000-0008-0000-0A00-000077020000}"/>
                      </a:ext>
                    </a:extLst>
                  </xdr:cNvPr>
                  <xdr:cNvSpPr/>
                </xdr:nvSpPr>
                <xdr:spPr>
                  <a:xfrm>
                    <a:off x="18275603" y="1791997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AA13C1-E294-4B8C-BEFF-DC806D88A057}" type="TxLink">
                      <a:rPr lang="en-US" sz="1100" b="1" i="0" u="none" strike="noStrike">
                        <a:solidFill>
                          <a:schemeClr val="tx1">
                            <a:lumMod val="95000"/>
                            <a:lumOff val="5000"/>
                          </a:schemeClr>
                        </a:solidFill>
                        <a:latin typeface="Century Gothic"/>
                      </a:rPr>
                      <a:pPr algn="ctr"/>
                      <a:t>-</a:t>
                    </a:fld>
                    <a:endParaRPr lang="es-CO" sz="1100" b="1">
                      <a:solidFill>
                        <a:schemeClr val="tx1">
                          <a:lumMod val="95000"/>
                          <a:lumOff val="5000"/>
                        </a:schemeClr>
                      </a:solidFill>
                    </a:endParaRPr>
                  </a:p>
                </xdr:txBody>
              </xdr:sp>
            </xdr:grpSp>
          </xdr:grpSp>
        </xdr:grpSp>
        <xdr:grpSp>
          <xdr:nvGrpSpPr>
            <xdr:cNvPr id="247" name="Grupo 246">
              <a:extLst>
                <a:ext uri="{FF2B5EF4-FFF2-40B4-BE49-F238E27FC236}">
                  <a16:creationId xmlns:a16="http://schemas.microsoft.com/office/drawing/2014/main" id="{00000000-0008-0000-0A00-000088040000}"/>
                </a:ext>
              </a:extLst>
            </xdr:cNvPr>
            <xdr:cNvGrpSpPr/>
          </xdr:nvGrpSpPr>
          <xdr:grpSpPr>
            <a:xfrm>
              <a:off x="12034121" y="13753606"/>
              <a:ext cx="10833033" cy="1945018"/>
              <a:chOff x="12034121" y="13753606"/>
              <a:chExt cx="10833033" cy="1945018"/>
            </a:xfrm>
          </xdr:grpSpPr>
          <xdr:grpSp>
            <xdr:nvGrpSpPr>
              <xdr:cNvPr id="248" name="Grupo 247">
                <a:extLst>
                  <a:ext uri="{FF2B5EF4-FFF2-40B4-BE49-F238E27FC236}">
                    <a16:creationId xmlns:a16="http://schemas.microsoft.com/office/drawing/2014/main" id="{00000000-0008-0000-0A00-000082030000}"/>
                  </a:ext>
                </a:extLst>
              </xdr:cNvPr>
              <xdr:cNvGrpSpPr/>
            </xdr:nvGrpSpPr>
            <xdr:grpSpPr>
              <a:xfrm>
                <a:off x="16784752" y="14895774"/>
                <a:ext cx="2158192" cy="744715"/>
                <a:chOff x="16755119" y="14887307"/>
                <a:chExt cx="2158192" cy="753182"/>
              </a:xfrm>
            </xdr:grpSpPr>
            <xdr:grpSp>
              <xdr:nvGrpSpPr>
                <xdr:cNvPr id="316" name="Grupo 315">
                  <a:extLst>
                    <a:ext uri="{FF2B5EF4-FFF2-40B4-BE49-F238E27FC236}">
                      <a16:creationId xmlns:a16="http://schemas.microsoft.com/office/drawing/2014/main" id="{00000000-0008-0000-0A00-0000BF000000}"/>
                    </a:ext>
                  </a:extLst>
                </xdr:cNvPr>
                <xdr:cNvGrpSpPr/>
              </xdr:nvGrpSpPr>
              <xdr:grpSpPr>
                <a:xfrm>
                  <a:off x="16755119" y="14887307"/>
                  <a:ext cx="2158192" cy="753182"/>
                  <a:chOff x="28351843" y="12458683"/>
                  <a:chExt cx="2160000" cy="726638"/>
                </a:xfrm>
              </xdr:grpSpPr>
              <xdr:sp macro="" textlink="">
                <xdr:nvSpPr>
                  <xdr:cNvPr id="321" name="Cheurón 320">
                    <a:extLst>
                      <a:ext uri="{FF2B5EF4-FFF2-40B4-BE49-F238E27FC236}">
                        <a16:creationId xmlns:a16="http://schemas.microsoft.com/office/drawing/2014/main" id="{00000000-0008-0000-0A00-0000C4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22" name="CuadroTexto 321">
                    <a:extLst>
                      <a:ext uri="{FF2B5EF4-FFF2-40B4-BE49-F238E27FC236}">
                        <a16:creationId xmlns:a16="http://schemas.microsoft.com/office/drawing/2014/main" id="{00000000-0008-0000-0A00-0000C5000000}"/>
                      </a:ext>
                    </a:extLst>
                  </xdr:cNvPr>
                  <xdr:cNvSpPr txBox="1"/>
                </xdr:nvSpPr>
                <xdr:spPr>
                  <a:xfrm>
                    <a:off x="2842117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X$26">
                <xdr:nvSpPr>
                  <xdr:cNvPr id="323" name="Rectángulo redondeado 322">
                    <a:extLst>
                      <a:ext uri="{FF2B5EF4-FFF2-40B4-BE49-F238E27FC236}">
                        <a16:creationId xmlns:a16="http://schemas.microsoft.com/office/drawing/2014/main" id="{00000000-0008-0000-0A00-0000C6000000}"/>
                      </a:ext>
                    </a:extLst>
                  </xdr:cNvPr>
                  <xdr:cNvSpPr/>
                </xdr:nvSpPr>
                <xdr:spPr>
                  <a:xfrm>
                    <a:off x="29539922"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F14B772-6399-40AA-BAD0-832D35E26479}" type="TxLink">
                      <a:rPr lang="en-US" sz="1600" b="1" i="0" u="none" strike="noStrike">
                        <a:solidFill>
                          <a:srgbClr val="FFFF00"/>
                        </a:solidFill>
                        <a:latin typeface="Century Gothic"/>
                      </a:rPr>
                      <a:pPr algn="ctr"/>
                      <a:t>20,0%</a:t>
                    </a:fld>
                    <a:endParaRPr lang="es-CO" sz="4400">
                      <a:solidFill>
                        <a:srgbClr val="FFFF00"/>
                      </a:solidFill>
                    </a:endParaRPr>
                  </a:p>
                </xdr:txBody>
              </xdr:sp>
            </xdr:grpSp>
            <xdr:grpSp>
              <xdr:nvGrpSpPr>
                <xdr:cNvPr id="317" name="Grupo 316">
                  <a:extLst>
                    <a:ext uri="{FF2B5EF4-FFF2-40B4-BE49-F238E27FC236}">
                      <a16:creationId xmlns:a16="http://schemas.microsoft.com/office/drawing/2014/main" id="{00000000-0008-0000-0A00-000081020000}"/>
                    </a:ext>
                  </a:extLst>
                </xdr:cNvPr>
                <xdr:cNvGrpSpPr/>
              </xdr:nvGrpSpPr>
              <xdr:grpSpPr>
                <a:xfrm>
                  <a:off x="17973656" y="15355669"/>
                  <a:ext cx="825525" cy="283551"/>
                  <a:chOff x="17958262" y="16577754"/>
                  <a:chExt cx="825525" cy="275854"/>
                </a:xfrm>
              </xdr:grpSpPr>
              <xdr:sp macro="" textlink="">
                <xdr:nvSpPr>
                  <xdr:cNvPr id="318" name="CuadroTexto 317">
                    <a:extLst>
                      <a:ext uri="{FF2B5EF4-FFF2-40B4-BE49-F238E27FC236}">
                        <a16:creationId xmlns:a16="http://schemas.microsoft.com/office/drawing/2014/main" id="{00000000-0008-0000-0A00-00006F020000}"/>
                      </a:ext>
                    </a:extLst>
                  </xdr:cNvPr>
                  <xdr:cNvSpPr txBox="1"/>
                </xdr:nvSpPr>
                <xdr:spPr>
                  <a:xfrm>
                    <a:off x="17958262" y="16579690"/>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6">
                <xdr:nvSpPr>
                  <xdr:cNvPr id="319" name="Rectángulo 318">
                    <a:extLst>
                      <a:ext uri="{FF2B5EF4-FFF2-40B4-BE49-F238E27FC236}">
                        <a16:creationId xmlns:a16="http://schemas.microsoft.com/office/drawing/2014/main" id="{00000000-0008-0000-0A00-000070020000}"/>
                      </a:ext>
                    </a:extLst>
                  </xdr:cNvPr>
                  <xdr:cNvSpPr/>
                </xdr:nvSpPr>
                <xdr:spPr>
                  <a:xfrm>
                    <a:off x="18013854" y="1657775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3509323-1E08-4B33-B1B9-F0440CD587E8}"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M$26">
                <xdr:nvSpPr>
                  <xdr:cNvPr id="320" name="Rectángulo 319">
                    <a:extLst>
                      <a:ext uri="{FF2B5EF4-FFF2-40B4-BE49-F238E27FC236}">
                        <a16:creationId xmlns:a16="http://schemas.microsoft.com/office/drawing/2014/main" id="{00000000-0008-0000-0A00-000071020000}"/>
                      </a:ext>
                    </a:extLst>
                  </xdr:cNvPr>
                  <xdr:cNvSpPr/>
                </xdr:nvSpPr>
                <xdr:spPr>
                  <a:xfrm>
                    <a:off x="18299850" y="1657775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C70EFFCE-7401-4149-9DC7-126244A62E4C}" type="TxLink">
                      <a:rPr lang="en-US" sz="1100" b="1" i="0" u="none" strike="noStrike">
                        <a:solidFill>
                          <a:srgbClr val="FFFF00"/>
                        </a:solidFill>
                        <a:latin typeface="Century Gothic"/>
                      </a:rPr>
                      <a:pPr algn="ctr"/>
                      <a:t>10</a:t>
                    </a:fld>
                    <a:endParaRPr lang="es-CO" sz="1100" b="1">
                      <a:solidFill>
                        <a:srgbClr val="FFFF00"/>
                      </a:solidFill>
                    </a:endParaRPr>
                  </a:p>
                </xdr:txBody>
              </xdr:sp>
            </xdr:grpSp>
          </xdr:grpSp>
          <xdr:grpSp>
            <xdr:nvGrpSpPr>
              <xdr:cNvPr id="249" name="Grupo 248">
                <a:extLst>
                  <a:ext uri="{FF2B5EF4-FFF2-40B4-BE49-F238E27FC236}">
                    <a16:creationId xmlns:a16="http://schemas.microsoft.com/office/drawing/2014/main" id="{00000000-0008-0000-0A00-0000B9000000}"/>
                  </a:ext>
                </a:extLst>
              </xdr:cNvPr>
              <xdr:cNvGrpSpPr/>
            </xdr:nvGrpSpPr>
            <xdr:grpSpPr>
              <a:xfrm>
                <a:off x="12034121" y="14046320"/>
                <a:ext cx="721666" cy="1652304"/>
                <a:chOff x="27415455" y="8406495"/>
                <a:chExt cx="720604" cy="1610348"/>
              </a:xfrm>
            </xdr:grpSpPr>
            <xdr:sp macro="" textlink="">
              <xdr:nvSpPr>
                <xdr:cNvPr id="314" name="Rectángulo 313">
                  <a:extLst>
                    <a:ext uri="{FF2B5EF4-FFF2-40B4-BE49-F238E27FC236}">
                      <a16:creationId xmlns:a16="http://schemas.microsoft.com/office/drawing/2014/main" id="{00000000-0008-0000-0A00-0000D9000000}"/>
                    </a:ext>
                  </a:extLst>
                </xdr:cNvPr>
                <xdr:cNvSpPr/>
              </xdr:nvSpPr>
              <xdr:spPr>
                <a:xfrm>
                  <a:off x="27415455" y="8450034"/>
                  <a:ext cx="720604"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15" name="CuadroTexto 314">
                  <a:extLst>
                    <a:ext uri="{FF2B5EF4-FFF2-40B4-BE49-F238E27FC236}">
                      <a16:creationId xmlns:a16="http://schemas.microsoft.com/office/drawing/2014/main" id="{00000000-0008-0000-0A00-0000DA000000}"/>
                    </a:ext>
                  </a:extLst>
                </xdr:cNvPr>
                <xdr:cNvSpPr txBox="1"/>
              </xdr:nvSpPr>
              <xdr:spPr>
                <a:xfrm rot="16200000">
                  <a:off x="26959463"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250" name="Flecha abajo 249">
                <a:extLst>
                  <a:ext uri="{FF2B5EF4-FFF2-40B4-BE49-F238E27FC236}">
                    <a16:creationId xmlns:a16="http://schemas.microsoft.com/office/drawing/2014/main" id="{00000000-0008-0000-0A00-0000B7000000}"/>
                  </a:ext>
                </a:extLst>
              </xdr:cNvPr>
              <xdr:cNvSpPr/>
            </xdr:nvSpPr>
            <xdr:spPr>
              <a:xfrm rot="10800000">
                <a:off x="17419862" y="13753606"/>
                <a:ext cx="468690" cy="295503"/>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51" name="Grupo 250">
                <a:extLst>
                  <a:ext uri="{FF2B5EF4-FFF2-40B4-BE49-F238E27FC236}">
                    <a16:creationId xmlns:a16="http://schemas.microsoft.com/office/drawing/2014/main" id="{00000000-0008-0000-0A00-000083020000}"/>
                  </a:ext>
                </a:extLst>
              </xdr:cNvPr>
              <xdr:cNvGrpSpPr/>
            </xdr:nvGrpSpPr>
            <xdr:grpSpPr>
              <a:xfrm>
                <a:off x="12857431" y="14099363"/>
                <a:ext cx="2163185" cy="749484"/>
                <a:chOff x="12820100" y="15204109"/>
                <a:chExt cx="2157065" cy="743322"/>
              </a:xfrm>
            </xdr:grpSpPr>
            <xdr:grpSp>
              <xdr:nvGrpSpPr>
                <xdr:cNvPr id="306" name="Grupo 305">
                  <a:extLst>
                    <a:ext uri="{FF2B5EF4-FFF2-40B4-BE49-F238E27FC236}">
                      <a16:creationId xmlns:a16="http://schemas.microsoft.com/office/drawing/2014/main" id="{00000000-0008-0000-0A00-0000B8000000}"/>
                    </a:ext>
                  </a:extLst>
                </xdr:cNvPr>
                <xdr:cNvGrpSpPr/>
              </xdr:nvGrpSpPr>
              <xdr:grpSpPr>
                <a:xfrm>
                  <a:off x="12820100" y="15204109"/>
                  <a:ext cx="2157065" cy="739441"/>
                  <a:chOff x="28351843" y="12458683"/>
                  <a:chExt cx="2160000" cy="726638"/>
                </a:xfrm>
              </xdr:grpSpPr>
              <xdr:sp macro="" textlink="">
                <xdr:nvSpPr>
                  <xdr:cNvPr id="311" name="Cheurón 310">
                    <a:extLst>
                      <a:ext uri="{FF2B5EF4-FFF2-40B4-BE49-F238E27FC236}">
                        <a16:creationId xmlns:a16="http://schemas.microsoft.com/office/drawing/2014/main" id="{00000000-0008-0000-0A00-0000DB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12" name="CuadroTexto 311">
                    <a:extLst>
                      <a:ext uri="{FF2B5EF4-FFF2-40B4-BE49-F238E27FC236}">
                        <a16:creationId xmlns:a16="http://schemas.microsoft.com/office/drawing/2014/main" id="{00000000-0008-0000-0A00-0000DC00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X$20">
                <xdr:nvSpPr>
                  <xdr:cNvPr id="313" name="Rectángulo redondeado 312">
                    <a:extLst>
                      <a:ext uri="{FF2B5EF4-FFF2-40B4-BE49-F238E27FC236}">
                        <a16:creationId xmlns:a16="http://schemas.microsoft.com/office/drawing/2014/main" id="{00000000-0008-0000-0A00-0000DD000000}"/>
                      </a:ext>
                    </a:extLst>
                  </xdr:cNvPr>
                  <xdr:cNvSpPr/>
                </xdr:nvSpPr>
                <xdr:spPr>
                  <a:xfrm>
                    <a:off x="29557264" y="1257052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1591A4-99B2-4438-8C87-3D02429B92ED}" type="TxLink">
                      <a:rPr lang="en-US" sz="1600" b="1" i="0" u="none" strike="noStrike">
                        <a:solidFill>
                          <a:srgbClr val="FFFF00"/>
                        </a:solidFill>
                        <a:latin typeface="Century Gothic"/>
                      </a:rPr>
                      <a:pPr algn="ctr"/>
                      <a:t>30,0%</a:t>
                    </a:fld>
                    <a:endParaRPr lang="es-CO" sz="2800">
                      <a:solidFill>
                        <a:srgbClr val="FFFF00"/>
                      </a:solidFill>
                    </a:endParaRPr>
                  </a:p>
                </xdr:txBody>
              </xdr:sp>
            </xdr:grpSp>
            <xdr:grpSp>
              <xdr:nvGrpSpPr>
                <xdr:cNvPr id="307" name="Grupo 306">
                  <a:extLst>
                    <a:ext uri="{FF2B5EF4-FFF2-40B4-BE49-F238E27FC236}">
                      <a16:creationId xmlns:a16="http://schemas.microsoft.com/office/drawing/2014/main" id="{00000000-0008-0000-0A00-000078020000}"/>
                    </a:ext>
                  </a:extLst>
                </xdr:cNvPr>
                <xdr:cNvGrpSpPr/>
              </xdr:nvGrpSpPr>
              <xdr:grpSpPr>
                <a:xfrm>
                  <a:off x="14033393" y="15671577"/>
                  <a:ext cx="825525" cy="275854"/>
                  <a:chOff x="14059370" y="15832199"/>
                  <a:chExt cx="825525" cy="275854"/>
                </a:xfrm>
              </xdr:grpSpPr>
              <xdr:sp macro="" textlink="">
                <xdr:nvSpPr>
                  <xdr:cNvPr id="308" name="CuadroTexto 307">
                    <a:extLst>
                      <a:ext uri="{FF2B5EF4-FFF2-40B4-BE49-F238E27FC236}">
                        <a16:creationId xmlns:a16="http://schemas.microsoft.com/office/drawing/2014/main" id="{00000000-0008-0000-0A00-00005C020000}"/>
                      </a:ext>
                    </a:extLst>
                  </xdr:cNvPr>
                  <xdr:cNvSpPr txBox="1"/>
                </xdr:nvSpPr>
                <xdr:spPr>
                  <a:xfrm>
                    <a:off x="14059370" y="15834135"/>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b="0" i="0">
                        <a:solidFill>
                          <a:srgbClr val="FFFF00"/>
                        </a:solidFill>
                        <a:latin typeface="Century Gothic" panose="020B0502020202020204" pitchFamily="34" charset="0"/>
                      </a:rPr>
                      <a:t>(</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  </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a:t>
                    </a:r>
                  </a:p>
                </xdr:txBody>
              </xdr:sp>
              <xdr:sp macro="" textlink="$W$20">
                <xdr:nvSpPr>
                  <xdr:cNvPr id="309" name="Rectángulo 308">
                    <a:extLst>
                      <a:ext uri="{FF2B5EF4-FFF2-40B4-BE49-F238E27FC236}">
                        <a16:creationId xmlns:a16="http://schemas.microsoft.com/office/drawing/2014/main" id="{00000000-0008-0000-0A00-00005D020000}"/>
                      </a:ext>
                    </a:extLst>
                  </xdr:cNvPr>
                  <xdr:cNvSpPr/>
                </xdr:nvSpPr>
                <xdr:spPr>
                  <a:xfrm>
                    <a:off x="14112075" y="1583219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62A09B3C-8EE8-4317-88A8-0AC55F7494E7}"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M$20">
                <xdr:nvSpPr>
                  <xdr:cNvPr id="310" name="Rectángulo 309">
                    <a:extLst>
                      <a:ext uri="{FF2B5EF4-FFF2-40B4-BE49-F238E27FC236}">
                        <a16:creationId xmlns:a16="http://schemas.microsoft.com/office/drawing/2014/main" id="{00000000-0008-0000-0A00-00005E020000}"/>
                      </a:ext>
                    </a:extLst>
                  </xdr:cNvPr>
                  <xdr:cNvSpPr/>
                </xdr:nvSpPr>
                <xdr:spPr>
                  <a:xfrm>
                    <a:off x="14398071" y="1583219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DA36E6B-B3D1-46AA-BF3E-F24590E8CDED}" type="TxLink">
                      <a:rPr lang="en-US" sz="1100" b="1" i="0" u="none" strike="noStrike">
                        <a:solidFill>
                          <a:srgbClr val="FFFF00"/>
                        </a:solidFill>
                        <a:latin typeface="Century Gothic"/>
                      </a:rPr>
                      <a:pPr algn="ctr"/>
                      <a:t>40</a:t>
                    </a:fld>
                    <a:endParaRPr lang="es-CO" sz="1100" b="1">
                      <a:solidFill>
                        <a:srgbClr val="FFFF00"/>
                      </a:solidFill>
                    </a:endParaRPr>
                  </a:p>
                </xdr:txBody>
              </xdr:sp>
            </xdr:grpSp>
          </xdr:grpSp>
          <xdr:grpSp>
            <xdr:nvGrpSpPr>
              <xdr:cNvPr id="252" name="Grupo 251">
                <a:extLst>
                  <a:ext uri="{FF2B5EF4-FFF2-40B4-BE49-F238E27FC236}">
                    <a16:creationId xmlns:a16="http://schemas.microsoft.com/office/drawing/2014/main" id="{00000000-0008-0000-0A00-000084020000}"/>
                  </a:ext>
                </a:extLst>
              </xdr:cNvPr>
              <xdr:cNvGrpSpPr/>
            </xdr:nvGrpSpPr>
            <xdr:grpSpPr>
              <a:xfrm>
                <a:off x="14808847" y="14099363"/>
                <a:ext cx="2171832" cy="749484"/>
                <a:chOff x="14765995" y="15204109"/>
                <a:chExt cx="2165688" cy="743322"/>
              </a:xfrm>
            </xdr:grpSpPr>
            <xdr:grpSp>
              <xdr:nvGrpSpPr>
                <xdr:cNvPr id="298" name="Grupo 297">
                  <a:extLst>
                    <a:ext uri="{FF2B5EF4-FFF2-40B4-BE49-F238E27FC236}">
                      <a16:creationId xmlns:a16="http://schemas.microsoft.com/office/drawing/2014/main" id="{00000000-0008-0000-0A00-0000BA000000}"/>
                    </a:ext>
                  </a:extLst>
                </xdr:cNvPr>
                <xdr:cNvGrpSpPr/>
              </xdr:nvGrpSpPr>
              <xdr:grpSpPr>
                <a:xfrm>
                  <a:off x="14765995" y="15204109"/>
                  <a:ext cx="2165688" cy="739441"/>
                  <a:chOff x="28351843" y="12458683"/>
                  <a:chExt cx="2168635" cy="726638"/>
                </a:xfrm>
              </xdr:grpSpPr>
              <xdr:sp macro="" textlink="">
                <xdr:nvSpPr>
                  <xdr:cNvPr id="303" name="Cheurón 302">
                    <a:extLst>
                      <a:ext uri="{FF2B5EF4-FFF2-40B4-BE49-F238E27FC236}">
                        <a16:creationId xmlns:a16="http://schemas.microsoft.com/office/drawing/2014/main" id="{00000000-0008-0000-0A00-0000D6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04" name="CuadroTexto 303">
                    <a:extLst>
                      <a:ext uri="{FF2B5EF4-FFF2-40B4-BE49-F238E27FC236}">
                        <a16:creationId xmlns:a16="http://schemas.microsoft.com/office/drawing/2014/main" id="{00000000-0008-0000-0A00-0000D7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X$21">
                <xdr:nvSpPr>
                  <xdr:cNvPr id="305" name="Rectángulo redondeado 304">
                    <a:extLst>
                      <a:ext uri="{FF2B5EF4-FFF2-40B4-BE49-F238E27FC236}">
                        <a16:creationId xmlns:a16="http://schemas.microsoft.com/office/drawing/2014/main" id="{00000000-0008-0000-0A00-0000D800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7D72A0-69F4-4BB2-A822-53CAE2C40151}" type="TxLink">
                      <a:rPr lang="en-US" sz="1600" b="1" i="0" u="none" strike="noStrike">
                        <a:solidFill>
                          <a:srgbClr val="FFFF00"/>
                        </a:solidFill>
                        <a:latin typeface="Century Gothic"/>
                      </a:rPr>
                      <a:pPr algn="ctr"/>
                      <a:t>0,9%</a:t>
                    </a:fld>
                    <a:endParaRPr lang="es-CO" sz="3600">
                      <a:solidFill>
                        <a:srgbClr val="FFFF00"/>
                      </a:solidFill>
                    </a:endParaRPr>
                  </a:p>
                </xdr:txBody>
              </xdr:sp>
            </xdr:grpSp>
            <xdr:grpSp>
              <xdr:nvGrpSpPr>
                <xdr:cNvPr id="299" name="Grupo 298">
                  <a:extLst>
                    <a:ext uri="{FF2B5EF4-FFF2-40B4-BE49-F238E27FC236}">
                      <a16:creationId xmlns:a16="http://schemas.microsoft.com/office/drawing/2014/main" id="{00000000-0008-0000-0A00-000079020000}"/>
                    </a:ext>
                  </a:extLst>
                </xdr:cNvPr>
                <xdr:cNvGrpSpPr/>
              </xdr:nvGrpSpPr>
              <xdr:grpSpPr>
                <a:xfrm>
                  <a:off x="15995542" y="15671577"/>
                  <a:ext cx="825525" cy="275854"/>
                  <a:chOff x="16012860" y="15776783"/>
                  <a:chExt cx="825525" cy="275854"/>
                </a:xfrm>
              </xdr:grpSpPr>
              <xdr:sp macro="" textlink="">
                <xdr:nvSpPr>
                  <xdr:cNvPr id="300" name="CuadroTexto 299">
                    <a:extLst>
                      <a:ext uri="{FF2B5EF4-FFF2-40B4-BE49-F238E27FC236}">
                        <a16:creationId xmlns:a16="http://schemas.microsoft.com/office/drawing/2014/main" id="{00000000-0008-0000-0A00-000060020000}"/>
                      </a:ext>
                    </a:extLst>
                  </xdr:cNvPr>
                  <xdr:cNvSpPr txBox="1"/>
                </xdr:nvSpPr>
                <xdr:spPr>
                  <a:xfrm>
                    <a:off x="16012860" y="1577871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1">
                <xdr:nvSpPr>
                  <xdr:cNvPr id="301" name="Rectángulo 300">
                    <a:extLst>
                      <a:ext uri="{FF2B5EF4-FFF2-40B4-BE49-F238E27FC236}">
                        <a16:creationId xmlns:a16="http://schemas.microsoft.com/office/drawing/2014/main" id="{00000000-0008-0000-0A00-000061020000}"/>
                      </a:ext>
                    </a:extLst>
                  </xdr:cNvPr>
                  <xdr:cNvSpPr/>
                </xdr:nvSpPr>
                <xdr:spPr>
                  <a:xfrm>
                    <a:off x="16039588" y="1577678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BAEC7CF-A364-4E4D-A8A1-C10568A38523}"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M$21">
                <xdr:nvSpPr>
                  <xdr:cNvPr id="302" name="Rectángulo 301">
                    <a:extLst>
                      <a:ext uri="{FF2B5EF4-FFF2-40B4-BE49-F238E27FC236}">
                        <a16:creationId xmlns:a16="http://schemas.microsoft.com/office/drawing/2014/main" id="{00000000-0008-0000-0A00-000062020000}"/>
                      </a:ext>
                    </a:extLst>
                  </xdr:cNvPr>
                  <xdr:cNvSpPr/>
                </xdr:nvSpPr>
                <xdr:spPr>
                  <a:xfrm>
                    <a:off x="16325584" y="1577678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C43F85B6-6953-4072-87E0-788A089EFDC5}" type="TxLink">
                      <a:rPr lang="en-US" sz="1100" b="1" i="0" u="none" strike="noStrike">
                        <a:solidFill>
                          <a:srgbClr val="FFFF00"/>
                        </a:solidFill>
                        <a:latin typeface="Century Gothic"/>
                      </a:rPr>
                      <a:pPr algn="ctr"/>
                      <a:t>110</a:t>
                    </a:fld>
                    <a:endParaRPr lang="es-CO" sz="1100" b="1">
                      <a:solidFill>
                        <a:srgbClr val="FFFF00"/>
                      </a:solidFill>
                    </a:endParaRPr>
                  </a:p>
                </xdr:txBody>
              </xdr:sp>
            </xdr:grpSp>
          </xdr:grpSp>
          <xdr:grpSp>
            <xdr:nvGrpSpPr>
              <xdr:cNvPr id="253" name="Grupo 252">
                <a:extLst>
                  <a:ext uri="{FF2B5EF4-FFF2-40B4-BE49-F238E27FC236}">
                    <a16:creationId xmlns:a16="http://schemas.microsoft.com/office/drawing/2014/main" id="{00000000-0008-0000-0A00-000085020000}"/>
                  </a:ext>
                </a:extLst>
              </xdr:cNvPr>
              <xdr:cNvGrpSpPr/>
            </xdr:nvGrpSpPr>
            <xdr:grpSpPr>
              <a:xfrm>
                <a:off x="16773883" y="14099362"/>
                <a:ext cx="2171832" cy="749485"/>
                <a:chOff x="16725472" y="15204109"/>
                <a:chExt cx="2165688" cy="743323"/>
              </a:xfrm>
            </xdr:grpSpPr>
            <xdr:grpSp>
              <xdr:nvGrpSpPr>
                <xdr:cNvPr id="290" name="Grupo 289">
                  <a:extLst>
                    <a:ext uri="{FF2B5EF4-FFF2-40B4-BE49-F238E27FC236}">
                      <a16:creationId xmlns:a16="http://schemas.microsoft.com/office/drawing/2014/main" id="{00000000-0008-0000-0A00-0000BB000000}"/>
                    </a:ext>
                  </a:extLst>
                </xdr:cNvPr>
                <xdr:cNvGrpSpPr/>
              </xdr:nvGrpSpPr>
              <xdr:grpSpPr>
                <a:xfrm>
                  <a:off x="16725472" y="15204109"/>
                  <a:ext cx="2165688" cy="739441"/>
                  <a:chOff x="28351843" y="12458683"/>
                  <a:chExt cx="2168635" cy="726638"/>
                </a:xfrm>
              </xdr:grpSpPr>
              <xdr:sp macro="" textlink="">
                <xdr:nvSpPr>
                  <xdr:cNvPr id="295" name="Cheurón 294">
                    <a:extLst>
                      <a:ext uri="{FF2B5EF4-FFF2-40B4-BE49-F238E27FC236}">
                        <a16:creationId xmlns:a16="http://schemas.microsoft.com/office/drawing/2014/main" id="{00000000-0008-0000-0A00-0000D3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96" name="CuadroTexto 295">
                    <a:extLst>
                      <a:ext uri="{FF2B5EF4-FFF2-40B4-BE49-F238E27FC236}">
                        <a16:creationId xmlns:a16="http://schemas.microsoft.com/office/drawing/2014/main" id="{00000000-0008-0000-0A00-0000D4000000}"/>
                      </a:ext>
                    </a:extLst>
                  </xdr:cNvPr>
                  <xdr:cNvSpPr txBox="1"/>
                </xdr:nvSpPr>
                <xdr:spPr>
                  <a:xfrm>
                    <a:off x="28452122"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X$22">
                <xdr:nvSpPr>
                  <xdr:cNvPr id="297" name="Rectángulo redondeado 296">
                    <a:extLst>
                      <a:ext uri="{FF2B5EF4-FFF2-40B4-BE49-F238E27FC236}">
                        <a16:creationId xmlns:a16="http://schemas.microsoft.com/office/drawing/2014/main" id="{00000000-0008-0000-0A00-0000D500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A1C176-E0AA-42AE-9DC1-4C3F2D9FCA9A}" type="TxLink">
                      <a:rPr lang="en-US" sz="1600" b="1" i="0" u="none" strike="noStrike">
                        <a:solidFill>
                          <a:srgbClr val="FFFF00"/>
                        </a:solidFill>
                        <a:latin typeface="Century Gothic"/>
                      </a:rPr>
                      <a:pPr algn="ctr"/>
                      <a:t>0,0%</a:t>
                    </a:fld>
                    <a:endParaRPr lang="es-CO" sz="4400">
                      <a:solidFill>
                        <a:srgbClr val="FFFF00"/>
                      </a:solidFill>
                    </a:endParaRPr>
                  </a:p>
                </xdr:txBody>
              </xdr:sp>
            </xdr:grpSp>
            <xdr:grpSp>
              <xdr:nvGrpSpPr>
                <xdr:cNvPr id="291" name="Grupo 290">
                  <a:extLst>
                    <a:ext uri="{FF2B5EF4-FFF2-40B4-BE49-F238E27FC236}">
                      <a16:creationId xmlns:a16="http://schemas.microsoft.com/office/drawing/2014/main" id="{00000000-0008-0000-0A00-00007A020000}"/>
                    </a:ext>
                  </a:extLst>
                </xdr:cNvPr>
                <xdr:cNvGrpSpPr/>
              </xdr:nvGrpSpPr>
              <xdr:grpSpPr>
                <a:xfrm>
                  <a:off x="17949031" y="15671575"/>
                  <a:ext cx="825525" cy="275857"/>
                  <a:chOff x="17966349" y="15786307"/>
                  <a:chExt cx="825525" cy="275857"/>
                </a:xfrm>
              </xdr:grpSpPr>
              <xdr:sp macro="" textlink="">
                <xdr:nvSpPr>
                  <xdr:cNvPr id="292" name="CuadroTexto 291">
                    <a:extLst>
                      <a:ext uri="{FF2B5EF4-FFF2-40B4-BE49-F238E27FC236}">
                        <a16:creationId xmlns:a16="http://schemas.microsoft.com/office/drawing/2014/main" id="{00000000-0008-0000-0A00-000063020000}"/>
                      </a:ext>
                    </a:extLst>
                  </xdr:cNvPr>
                  <xdr:cNvSpPr txBox="1"/>
                </xdr:nvSpPr>
                <xdr:spPr>
                  <a:xfrm>
                    <a:off x="17966349" y="15788245"/>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2">
                <xdr:nvSpPr>
                  <xdr:cNvPr id="293" name="Rectángulo 292">
                    <a:extLst>
                      <a:ext uri="{FF2B5EF4-FFF2-40B4-BE49-F238E27FC236}">
                        <a16:creationId xmlns:a16="http://schemas.microsoft.com/office/drawing/2014/main" id="{00000000-0008-0000-0A00-000064020000}"/>
                      </a:ext>
                    </a:extLst>
                  </xdr:cNvPr>
                  <xdr:cNvSpPr/>
                </xdr:nvSpPr>
                <xdr:spPr>
                  <a:xfrm>
                    <a:off x="18019054" y="15786307"/>
                    <a:ext cx="432000" cy="2758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7E57002-4343-4440-8669-BA97229F26F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2">
                <xdr:nvSpPr>
                  <xdr:cNvPr id="294" name="Rectángulo 293">
                    <a:extLst>
                      <a:ext uri="{FF2B5EF4-FFF2-40B4-BE49-F238E27FC236}">
                        <a16:creationId xmlns:a16="http://schemas.microsoft.com/office/drawing/2014/main" id="{00000000-0008-0000-0A00-000065020000}"/>
                      </a:ext>
                    </a:extLst>
                  </xdr:cNvPr>
                  <xdr:cNvSpPr/>
                </xdr:nvSpPr>
                <xdr:spPr>
                  <a:xfrm>
                    <a:off x="18305050" y="1578631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E1E542E-CC07-4351-B8FC-13B4FCA9684E}" type="TxLink">
                      <a:rPr lang="en-US" sz="1100" b="1" i="0" u="none" strike="noStrike">
                        <a:solidFill>
                          <a:srgbClr val="FFFF00"/>
                        </a:solidFill>
                        <a:latin typeface="Century Gothic"/>
                      </a:rPr>
                      <a:pPr algn="ctr"/>
                      <a:t>16</a:t>
                    </a:fld>
                    <a:endParaRPr lang="es-CO" sz="1100" b="1">
                      <a:solidFill>
                        <a:srgbClr val="FFFF00"/>
                      </a:solidFill>
                    </a:endParaRPr>
                  </a:p>
                </xdr:txBody>
              </xdr:sp>
            </xdr:grpSp>
          </xdr:grpSp>
          <xdr:grpSp>
            <xdr:nvGrpSpPr>
              <xdr:cNvPr id="254" name="Grupo 253">
                <a:extLst>
                  <a:ext uri="{FF2B5EF4-FFF2-40B4-BE49-F238E27FC236}">
                    <a16:creationId xmlns:a16="http://schemas.microsoft.com/office/drawing/2014/main" id="{00000000-0008-0000-0A00-000086020000}"/>
                  </a:ext>
                </a:extLst>
              </xdr:cNvPr>
              <xdr:cNvGrpSpPr/>
            </xdr:nvGrpSpPr>
            <xdr:grpSpPr>
              <a:xfrm>
                <a:off x="18738927" y="14099363"/>
                <a:ext cx="2171832" cy="749484"/>
                <a:chOff x="18684957" y="15204109"/>
                <a:chExt cx="2165688" cy="743322"/>
              </a:xfrm>
            </xdr:grpSpPr>
            <xdr:grpSp>
              <xdr:nvGrpSpPr>
                <xdr:cNvPr id="282" name="Grupo 281">
                  <a:extLst>
                    <a:ext uri="{FF2B5EF4-FFF2-40B4-BE49-F238E27FC236}">
                      <a16:creationId xmlns:a16="http://schemas.microsoft.com/office/drawing/2014/main" id="{00000000-0008-0000-0A00-0000BC000000}"/>
                    </a:ext>
                  </a:extLst>
                </xdr:cNvPr>
                <xdr:cNvGrpSpPr/>
              </xdr:nvGrpSpPr>
              <xdr:grpSpPr>
                <a:xfrm>
                  <a:off x="18684957" y="15204109"/>
                  <a:ext cx="2165688" cy="739441"/>
                  <a:chOff x="28351843" y="12458683"/>
                  <a:chExt cx="2168635" cy="726638"/>
                </a:xfrm>
              </xdr:grpSpPr>
              <xdr:sp macro="" textlink="">
                <xdr:nvSpPr>
                  <xdr:cNvPr id="287" name="Cheurón 286">
                    <a:extLst>
                      <a:ext uri="{FF2B5EF4-FFF2-40B4-BE49-F238E27FC236}">
                        <a16:creationId xmlns:a16="http://schemas.microsoft.com/office/drawing/2014/main" id="{00000000-0008-0000-0A00-0000D0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88" name="CuadroTexto 287">
                    <a:extLst>
                      <a:ext uri="{FF2B5EF4-FFF2-40B4-BE49-F238E27FC236}">
                        <a16:creationId xmlns:a16="http://schemas.microsoft.com/office/drawing/2014/main" id="{00000000-0008-0000-0A00-0000D1000000}"/>
                      </a:ext>
                    </a:extLst>
                  </xdr:cNvPr>
                  <xdr:cNvSpPr txBox="1"/>
                </xdr:nvSpPr>
                <xdr:spPr>
                  <a:xfrm>
                    <a:off x="2846199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X$23">
                <xdr:nvSpPr>
                  <xdr:cNvPr id="289" name="Rectángulo redondeado 288">
                    <a:extLst>
                      <a:ext uri="{FF2B5EF4-FFF2-40B4-BE49-F238E27FC236}">
                        <a16:creationId xmlns:a16="http://schemas.microsoft.com/office/drawing/2014/main" id="{00000000-0008-0000-0A00-0000D200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2CA62E3-C21B-4951-9209-F068CF8DF0EA}" type="TxLink">
                      <a:rPr lang="en-US" sz="1600" b="1" i="0" u="none" strike="noStrike">
                        <a:solidFill>
                          <a:srgbClr val="FFFF00"/>
                        </a:solidFill>
                        <a:latin typeface="Century Gothic"/>
                      </a:rPr>
                      <a:pPr algn="ctr"/>
                      <a:t>0,0%</a:t>
                    </a:fld>
                    <a:endParaRPr lang="es-CO" sz="5400">
                      <a:solidFill>
                        <a:srgbClr val="FFFF00"/>
                      </a:solidFill>
                    </a:endParaRPr>
                  </a:p>
                </xdr:txBody>
              </xdr:sp>
            </xdr:grpSp>
            <xdr:grpSp>
              <xdr:nvGrpSpPr>
                <xdr:cNvPr id="283" name="Grupo 282">
                  <a:extLst>
                    <a:ext uri="{FF2B5EF4-FFF2-40B4-BE49-F238E27FC236}">
                      <a16:creationId xmlns:a16="http://schemas.microsoft.com/office/drawing/2014/main" id="{00000000-0008-0000-0A00-00007B020000}"/>
                    </a:ext>
                  </a:extLst>
                </xdr:cNvPr>
                <xdr:cNvGrpSpPr/>
              </xdr:nvGrpSpPr>
              <xdr:grpSpPr>
                <a:xfrm>
                  <a:off x="19902520" y="15671577"/>
                  <a:ext cx="825525" cy="275854"/>
                  <a:chOff x="19911179" y="15782847"/>
                  <a:chExt cx="825525" cy="275854"/>
                </a:xfrm>
              </xdr:grpSpPr>
              <xdr:sp macro="" textlink="">
                <xdr:nvSpPr>
                  <xdr:cNvPr id="284" name="CuadroTexto 283">
                    <a:extLst>
                      <a:ext uri="{FF2B5EF4-FFF2-40B4-BE49-F238E27FC236}">
                        <a16:creationId xmlns:a16="http://schemas.microsoft.com/office/drawing/2014/main" id="{00000000-0008-0000-0A00-000066020000}"/>
                      </a:ext>
                    </a:extLst>
                  </xdr:cNvPr>
                  <xdr:cNvSpPr txBox="1"/>
                </xdr:nvSpPr>
                <xdr:spPr>
                  <a:xfrm>
                    <a:off x="19911179" y="15784783"/>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3">
                <xdr:nvSpPr>
                  <xdr:cNvPr id="285" name="Rectángulo 284">
                    <a:extLst>
                      <a:ext uri="{FF2B5EF4-FFF2-40B4-BE49-F238E27FC236}">
                        <a16:creationId xmlns:a16="http://schemas.microsoft.com/office/drawing/2014/main" id="{00000000-0008-0000-0A00-000067020000}"/>
                      </a:ext>
                    </a:extLst>
                  </xdr:cNvPr>
                  <xdr:cNvSpPr/>
                </xdr:nvSpPr>
                <xdr:spPr>
                  <a:xfrm>
                    <a:off x="19963884" y="1578284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2D68F2D-D0BD-434F-94C6-4523BBE672FE}"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3">
                <xdr:nvSpPr>
                  <xdr:cNvPr id="286" name="Rectángulo 285">
                    <a:extLst>
                      <a:ext uri="{FF2B5EF4-FFF2-40B4-BE49-F238E27FC236}">
                        <a16:creationId xmlns:a16="http://schemas.microsoft.com/office/drawing/2014/main" id="{00000000-0008-0000-0A00-000068020000}"/>
                      </a:ext>
                    </a:extLst>
                  </xdr:cNvPr>
                  <xdr:cNvSpPr/>
                </xdr:nvSpPr>
                <xdr:spPr>
                  <a:xfrm>
                    <a:off x="20249880" y="1578284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9C59F2B9-FD8F-4A7F-B522-25B46C5AA52F}" type="TxLink">
                      <a:rPr lang="en-US" sz="1100" b="1" i="0" u="none" strike="noStrike">
                        <a:solidFill>
                          <a:srgbClr val="FFFF00"/>
                        </a:solidFill>
                        <a:latin typeface="Century Gothic"/>
                      </a:rPr>
                      <a:pPr algn="ctr"/>
                      <a:t>46</a:t>
                    </a:fld>
                    <a:endParaRPr lang="es-CO" sz="1100" b="1">
                      <a:solidFill>
                        <a:srgbClr val="FFFF00"/>
                      </a:solidFill>
                    </a:endParaRPr>
                  </a:p>
                </xdr:txBody>
              </xdr:sp>
            </xdr:grpSp>
          </xdr:grpSp>
          <xdr:grpSp>
            <xdr:nvGrpSpPr>
              <xdr:cNvPr id="255" name="Grupo 254">
                <a:extLst>
                  <a:ext uri="{FF2B5EF4-FFF2-40B4-BE49-F238E27FC236}">
                    <a16:creationId xmlns:a16="http://schemas.microsoft.com/office/drawing/2014/main" id="{00000000-0008-0000-0A00-000087020000}"/>
                  </a:ext>
                </a:extLst>
              </xdr:cNvPr>
              <xdr:cNvGrpSpPr/>
            </xdr:nvGrpSpPr>
            <xdr:grpSpPr>
              <a:xfrm>
                <a:off x="20703969" y="14099363"/>
                <a:ext cx="2163185" cy="749484"/>
                <a:chOff x="20644440" y="15204109"/>
                <a:chExt cx="2157065" cy="743322"/>
              </a:xfrm>
            </xdr:grpSpPr>
            <xdr:grpSp>
              <xdr:nvGrpSpPr>
                <xdr:cNvPr id="274" name="Grupo 273">
                  <a:extLst>
                    <a:ext uri="{FF2B5EF4-FFF2-40B4-BE49-F238E27FC236}">
                      <a16:creationId xmlns:a16="http://schemas.microsoft.com/office/drawing/2014/main" id="{00000000-0008-0000-0A00-0000BD000000}"/>
                    </a:ext>
                  </a:extLst>
                </xdr:cNvPr>
                <xdr:cNvGrpSpPr/>
              </xdr:nvGrpSpPr>
              <xdr:grpSpPr>
                <a:xfrm>
                  <a:off x="20644440" y="15204109"/>
                  <a:ext cx="2157065" cy="739441"/>
                  <a:chOff x="28351843" y="12458683"/>
                  <a:chExt cx="2160000" cy="726638"/>
                </a:xfrm>
              </xdr:grpSpPr>
              <xdr:sp macro="" textlink="">
                <xdr:nvSpPr>
                  <xdr:cNvPr id="279" name="Cheurón 278">
                    <a:extLst>
                      <a:ext uri="{FF2B5EF4-FFF2-40B4-BE49-F238E27FC236}">
                        <a16:creationId xmlns:a16="http://schemas.microsoft.com/office/drawing/2014/main" id="{00000000-0008-0000-0A00-0000CD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80" name="CuadroTexto 279">
                    <a:extLst>
                      <a:ext uri="{FF2B5EF4-FFF2-40B4-BE49-F238E27FC236}">
                        <a16:creationId xmlns:a16="http://schemas.microsoft.com/office/drawing/2014/main" id="{00000000-0008-0000-0A00-0000CE000000}"/>
                      </a:ext>
                    </a:extLst>
                  </xdr:cNvPr>
                  <xdr:cNvSpPr txBox="1"/>
                </xdr:nvSpPr>
                <xdr:spPr>
                  <a:xfrm>
                    <a:off x="2847066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X$24">
                <xdr:nvSpPr>
                  <xdr:cNvPr id="281" name="Rectángulo redondeado 280">
                    <a:extLst>
                      <a:ext uri="{FF2B5EF4-FFF2-40B4-BE49-F238E27FC236}">
                        <a16:creationId xmlns:a16="http://schemas.microsoft.com/office/drawing/2014/main" id="{00000000-0008-0000-0A00-0000CF000000}"/>
                      </a:ext>
                    </a:extLst>
                  </xdr:cNvPr>
                  <xdr:cNvSpPr/>
                </xdr:nvSpPr>
                <xdr:spPr>
                  <a:xfrm>
                    <a:off x="29570871"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74791C-B912-4113-B967-DEBC3CE6937B}" type="TxLink">
                      <a:rPr lang="en-US" sz="1600" b="1" i="0" u="none" strike="noStrike">
                        <a:solidFill>
                          <a:srgbClr val="FFFF00"/>
                        </a:solidFill>
                        <a:latin typeface="Century Gothic"/>
                      </a:rPr>
                      <a:pPr algn="ctr"/>
                      <a:t>0,0%</a:t>
                    </a:fld>
                    <a:endParaRPr lang="es-CO" sz="6600">
                      <a:solidFill>
                        <a:srgbClr val="FFFF00"/>
                      </a:solidFill>
                    </a:endParaRPr>
                  </a:p>
                </xdr:txBody>
              </xdr:sp>
            </xdr:grpSp>
            <xdr:grpSp>
              <xdr:nvGrpSpPr>
                <xdr:cNvPr id="275" name="Grupo 274">
                  <a:extLst>
                    <a:ext uri="{FF2B5EF4-FFF2-40B4-BE49-F238E27FC236}">
                      <a16:creationId xmlns:a16="http://schemas.microsoft.com/office/drawing/2014/main" id="{00000000-0008-0000-0A00-00007C020000}"/>
                    </a:ext>
                  </a:extLst>
                </xdr:cNvPr>
                <xdr:cNvGrpSpPr/>
              </xdr:nvGrpSpPr>
              <xdr:grpSpPr>
                <a:xfrm>
                  <a:off x="21838689" y="15671577"/>
                  <a:ext cx="825525" cy="275854"/>
                  <a:chOff x="21838689" y="15788044"/>
                  <a:chExt cx="825525" cy="275854"/>
                </a:xfrm>
              </xdr:grpSpPr>
              <xdr:sp macro="" textlink="">
                <xdr:nvSpPr>
                  <xdr:cNvPr id="276" name="CuadroTexto 275">
                    <a:extLst>
                      <a:ext uri="{FF2B5EF4-FFF2-40B4-BE49-F238E27FC236}">
                        <a16:creationId xmlns:a16="http://schemas.microsoft.com/office/drawing/2014/main" id="{00000000-0008-0000-0A00-000069020000}"/>
                      </a:ext>
                    </a:extLst>
                  </xdr:cNvPr>
                  <xdr:cNvSpPr txBox="1"/>
                </xdr:nvSpPr>
                <xdr:spPr>
                  <a:xfrm>
                    <a:off x="21838689" y="15789980"/>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4">
                <xdr:nvSpPr>
                  <xdr:cNvPr id="277" name="Rectángulo 276">
                    <a:extLst>
                      <a:ext uri="{FF2B5EF4-FFF2-40B4-BE49-F238E27FC236}">
                        <a16:creationId xmlns:a16="http://schemas.microsoft.com/office/drawing/2014/main" id="{00000000-0008-0000-0A00-00006A02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2491AC04-87B5-4991-8DC1-BD19353F0014}"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4">
                <xdr:nvSpPr>
                  <xdr:cNvPr id="278" name="Rectángulo 277">
                    <a:extLst>
                      <a:ext uri="{FF2B5EF4-FFF2-40B4-BE49-F238E27FC236}">
                        <a16:creationId xmlns:a16="http://schemas.microsoft.com/office/drawing/2014/main" id="{00000000-0008-0000-0A00-00006B02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8AFF456C-7794-4C48-A119-F5EAB382F4B5}" type="TxLink">
                      <a:rPr lang="en-US" sz="1100" b="1" i="0" u="none" strike="noStrike">
                        <a:solidFill>
                          <a:srgbClr val="FFFF00"/>
                        </a:solidFill>
                        <a:latin typeface="Century Gothic"/>
                      </a:rPr>
                      <a:pPr algn="ctr"/>
                      <a:t>8</a:t>
                    </a:fld>
                    <a:endParaRPr lang="es-CO" sz="1100" b="1">
                      <a:solidFill>
                        <a:srgbClr val="FFFF00"/>
                      </a:solidFill>
                    </a:endParaRPr>
                  </a:p>
                </xdr:txBody>
              </xdr:sp>
            </xdr:grpSp>
          </xdr:grpSp>
          <xdr:grpSp>
            <xdr:nvGrpSpPr>
              <xdr:cNvPr id="256" name="Grupo 255">
                <a:extLst>
                  <a:ext uri="{FF2B5EF4-FFF2-40B4-BE49-F238E27FC236}">
                    <a16:creationId xmlns:a16="http://schemas.microsoft.com/office/drawing/2014/main" id="{00000000-0008-0000-0A00-000083030000}"/>
                  </a:ext>
                </a:extLst>
              </xdr:cNvPr>
              <xdr:cNvGrpSpPr/>
            </xdr:nvGrpSpPr>
            <xdr:grpSpPr>
              <a:xfrm>
                <a:off x="18752551" y="14897972"/>
                <a:ext cx="2163185" cy="762473"/>
                <a:chOff x="18715620" y="14890129"/>
                <a:chExt cx="2158192" cy="770257"/>
              </a:xfrm>
            </xdr:grpSpPr>
            <xdr:grpSp>
              <xdr:nvGrpSpPr>
                <xdr:cNvPr id="266" name="Grupo 265">
                  <a:extLst>
                    <a:ext uri="{FF2B5EF4-FFF2-40B4-BE49-F238E27FC236}">
                      <a16:creationId xmlns:a16="http://schemas.microsoft.com/office/drawing/2014/main" id="{00000000-0008-0000-0A00-0000C0000000}"/>
                    </a:ext>
                  </a:extLst>
                </xdr:cNvPr>
                <xdr:cNvGrpSpPr/>
              </xdr:nvGrpSpPr>
              <xdr:grpSpPr>
                <a:xfrm>
                  <a:off x="18715620" y="14890129"/>
                  <a:ext cx="2158192" cy="753182"/>
                  <a:chOff x="28351843" y="12458683"/>
                  <a:chExt cx="2160000" cy="726638"/>
                </a:xfrm>
              </xdr:grpSpPr>
              <xdr:sp macro="" textlink="">
                <xdr:nvSpPr>
                  <xdr:cNvPr id="271" name="Cheurón 270">
                    <a:extLst>
                      <a:ext uri="{FF2B5EF4-FFF2-40B4-BE49-F238E27FC236}">
                        <a16:creationId xmlns:a16="http://schemas.microsoft.com/office/drawing/2014/main" id="{00000000-0008-0000-0A00-0000C1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72" name="CuadroTexto 271">
                    <a:extLst>
                      <a:ext uri="{FF2B5EF4-FFF2-40B4-BE49-F238E27FC236}">
                        <a16:creationId xmlns:a16="http://schemas.microsoft.com/office/drawing/2014/main" id="{00000000-0008-0000-0A00-0000C2000000}"/>
                      </a:ext>
                    </a:extLst>
                  </xdr:cNvPr>
                  <xdr:cNvSpPr txBox="1"/>
                </xdr:nvSpPr>
                <xdr:spPr>
                  <a:xfrm>
                    <a:off x="28393960"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X$27">
                <xdr:nvSpPr>
                  <xdr:cNvPr id="273" name="Rectángulo redondeado 272">
                    <a:extLst>
                      <a:ext uri="{FF2B5EF4-FFF2-40B4-BE49-F238E27FC236}">
                        <a16:creationId xmlns:a16="http://schemas.microsoft.com/office/drawing/2014/main" id="{00000000-0008-0000-0A00-0000C3000000}"/>
                      </a:ext>
                    </a:extLst>
                  </xdr:cNvPr>
                  <xdr:cNvSpPr/>
                </xdr:nvSpPr>
                <xdr:spPr>
                  <a:xfrm>
                    <a:off x="29557264"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0EFBB3-161E-405B-AF5B-445BC19AB5FD}" type="TxLink">
                      <a:rPr lang="en-US" sz="1600" b="1" i="0" u="none" strike="noStrike">
                        <a:solidFill>
                          <a:srgbClr val="FFFF00"/>
                        </a:solidFill>
                        <a:latin typeface="Century Gothic"/>
                      </a:rPr>
                      <a:pPr algn="ctr"/>
                      <a:t>-</a:t>
                    </a:fld>
                    <a:endParaRPr lang="es-CO" sz="5400">
                      <a:solidFill>
                        <a:srgbClr val="FFFF00"/>
                      </a:solidFill>
                    </a:endParaRPr>
                  </a:p>
                </xdr:txBody>
              </xdr:sp>
            </xdr:grpSp>
            <xdr:grpSp>
              <xdr:nvGrpSpPr>
                <xdr:cNvPr id="267" name="Grupo 266">
                  <a:extLst>
                    <a:ext uri="{FF2B5EF4-FFF2-40B4-BE49-F238E27FC236}">
                      <a16:creationId xmlns:a16="http://schemas.microsoft.com/office/drawing/2014/main" id="{00000000-0008-0000-0A00-000082020000}"/>
                    </a:ext>
                  </a:extLst>
                </xdr:cNvPr>
                <xdr:cNvGrpSpPr/>
              </xdr:nvGrpSpPr>
              <xdr:grpSpPr>
                <a:xfrm>
                  <a:off x="19931955" y="15376835"/>
                  <a:ext cx="826488" cy="283551"/>
                  <a:chOff x="19914637" y="16582951"/>
                  <a:chExt cx="825525" cy="275854"/>
                </a:xfrm>
              </xdr:grpSpPr>
              <xdr:sp macro="" textlink="">
                <xdr:nvSpPr>
                  <xdr:cNvPr id="268" name="CuadroTexto 267">
                    <a:extLst>
                      <a:ext uri="{FF2B5EF4-FFF2-40B4-BE49-F238E27FC236}">
                        <a16:creationId xmlns:a16="http://schemas.microsoft.com/office/drawing/2014/main" id="{00000000-0008-0000-0A00-000072020000}"/>
                      </a:ext>
                    </a:extLst>
                  </xdr:cNvPr>
                  <xdr:cNvSpPr txBox="1"/>
                </xdr:nvSpPr>
                <xdr:spPr>
                  <a:xfrm>
                    <a:off x="19914637" y="1658488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7">
                <xdr:nvSpPr>
                  <xdr:cNvPr id="269" name="Rectángulo 268">
                    <a:extLst>
                      <a:ext uri="{FF2B5EF4-FFF2-40B4-BE49-F238E27FC236}">
                        <a16:creationId xmlns:a16="http://schemas.microsoft.com/office/drawing/2014/main" id="{00000000-0008-0000-0A00-000073020000}"/>
                      </a:ext>
                    </a:extLst>
                  </xdr:cNvPr>
                  <xdr:cNvSpPr/>
                </xdr:nvSpPr>
                <xdr:spPr>
                  <a:xfrm>
                    <a:off x="19967342" y="1658295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250CA86-4A51-454F-BAEE-0667B8EE53F7}"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M$27">
                <xdr:nvSpPr>
                  <xdr:cNvPr id="270" name="Rectángulo 269">
                    <a:extLst>
                      <a:ext uri="{FF2B5EF4-FFF2-40B4-BE49-F238E27FC236}">
                        <a16:creationId xmlns:a16="http://schemas.microsoft.com/office/drawing/2014/main" id="{00000000-0008-0000-0A00-000074020000}"/>
                      </a:ext>
                    </a:extLst>
                  </xdr:cNvPr>
                  <xdr:cNvSpPr/>
                </xdr:nvSpPr>
                <xdr:spPr>
                  <a:xfrm>
                    <a:off x="20253338" y="1658295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D2B9AB0-6F39-417E-812F-50EA29C95D35}" type="TxLink">
                      <a:rPr lang="en-US" sz="1100" b="1" i="0" u="none" strike="noStrike">
                        <a:solidFill>
                          <a:srgbClr val="FFFF00"/>
                        </a:solidFill>
                        <a:latin typeface="Century Gothic"/>
                      </a:rPr>
                      <a:pPr algn="ctr"/>
                      <a:t>-</a:t>
                    </a:fld>
                    <a:endParaRPr lang="es-CO" sz="1100" b="1">
                      <a:solidFill>
                        <a:srgbClr val="FFFF00"/>
                      </a:solidFill>
                    </a:endParaRPr>
                  </a:p>
                </xdr:txBody>
              </xdr:sp>
            </xdr:grpSp>
          </xdr:grpSp>
          <xdr:grpSp>
            <xdr:nvGrpSpPr>
              <xdr:cNvPr id="257" name="Grupo 256">
                <a:extLst>
                  <a:ext uri="{FF2B5EF4-FFF2-40B4-BE49-F238E27FC236}">
                    <a16:creationId xmlns:a16="http://schemas.microsoft.com/office/drawing/2014/main" id="{00000000-0008-0000-0A00-000081030000}"/>
                  </a:ext>
                </a:extLst>
              </xdr:cNvPr>
              <xdr:cNvGrpSpPr/>
            </xdr:nvGrpSpPr>
            <xdr:grpSpPr>
              <a:xfrm>
                <a:off x="14836099" y="14892384"/>
                <a:ext cx="2163185" cy="768061"/>
                <a:chOff x="14808207" y="14884484"/>
                <a:chExt cx="2158192" cy="775902"/>
              </a:xfrm>
            </xdr:grpSpPr>
            <xdr:grpSp>
              <xdr:nvGrpSpPr>
                <xdr:cNvPr id="258" name="Grupo 257">
                  <a:extLst>
                    <a:ext uri="{FF2B5EF4-FFF2-40B4-BE49-F238E27FC236}">
                      <a16:creationId xmlns:a16="http://schemas.microsoft.com/office/drawing/2014/main" id="{00000000-0008-0000-0A00-0000BE000000}"/>
                    </a:ext>
                  </a:extLst>
                </xdr:cNvPr>
                <xdr:cNvGrpSpPr/>
              </xdr:nvGrpSpPr>
              <xdr:grpSpPr>
                <a:xfrm>
                  <a:off x="14808207" y="14884484"/>
                  <a:ext cx="2158192" cy="753182"/>
                  <a:chOff x="28351843" y="12458683"/>
                  <a:chExt cx="2160000" cy="726638"/>
                </a:xfrm>
              </xdr:grpSpPr>
              <xdr:sp macro="" textlink="">
                <xdr:nvSpPr>
                  <xdr:cNvPr id="263" name="Cheurón 262">
                    <a:extLst>
                      <a:ext uri="{FF2B5EF4-FFF2-40B4-BE49-F238E27FC236}">
                        <a16:creationId xmlns:a16="http://schemas.microsoft.com/office/drawing/2014/main" id="{00000000-0008-0000-0A00-0000CA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64" name="CuadroTexto 263">
                    <a:extLst>
                      <a:ext uri="{FF2B5EF4-FFF2-40B4-BE49-F238E27FC236}">
                        <a16:creationId xmlns:a16="http://schemas.microsoft.com/office/drawing/2014/main" id="{00000000-0008-0000-0A00-0000CB000000}"/>
                      </a:ext>
                    </a:extLst>
                  </xdr:cNvPr>
                  <xdr:cNvSpPr txBox="1"/>
                </xdr:nvSpPr>
                <xdr:spPr>
                  <a:xfrm>
                    <a:off x="2840009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X$25">
                <xdr:nvSpPr>
                  <xdr:cNvPr id="265" name="Rectángulo redondeado 264">
                    <a:extLst>
                      <a:ext uri="{FF2B5EF4-FFF2-40B4-BE49-F238E27FC236}">
                        <a16:creationId xmlns:a16="http://schemas.microsoft.com/office/drawing/2014/main" id="{00000000-0008-0000-0A00-0000CC000000}"/>
                      </a:ext>
                    </a:extLst>
                  </xdr:cNvPr>
                  <xdr:cNvSpPr/>
                </xdr:nvSpPr>
                <xdr:spPr>
                  <a:xfrm>
                    <a:off x="29553530"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96B9E0-9A5A-4AF3-B35F-78EFD2B66E59}"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259" name="Grupo 258">
                  <a:extLst>
                    <a:ext uri="{FF2B5EF4-FFF2-40B4-BE49-F238E27FC236}">
                      <a16:creationId xmlns:a16="http://schemas.microsoft.com/office/drawing/2014/main" id="{00000000-0008-0000-0A00-000080020000}"/>
                    </a:ext>
                  </a:extLst>
                </xdr:cNvPr>
                <xdr:cNvGrpSpPr/>
              </xdr:nvGrpSpPr>
              <xdr:grpSpPr>
                <a:xfrm>
                  <a:off x="16014393" y="15376835"/>
                  <a:ext cx="825525" cy="283551"/>
                  <a:chOff x="16042294" y="16581216"/>
                  <a:chExt cx="825525" cy="275854"/>
                </a:xfrm>
              </xdr:grpSpPr>
              <xdr:sp macro="" textlink="">
                <xdr:nvSpPr>
                  <xdr:cNvPr id="260" name="CuadroTexto 259">
                    <a:extLst>
                      <a:ext uri="{FF2B5EF4-FFF2-40B4-BE49-F238E27FC236}">
                        <a16:creationId xmlns:a16="http://schemas.microsoft.com/office/drawing/2014/main" id="{00000000-0008-0000-0A00-00006C020000}"/>
                      </a:ext>
                    </a:extLst>
                  </xdr:cNvPr>
                  <xdr:cNvSpPr txBox="1"/>
                </xdr:nvSpPr>
                <xdr:spPr>
                  <a:xfrm>
                    <a:off x="16042294" y="1658315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5">
                <xdr:nvSpPr>
                  <xdr:cNvPr id="261" name="Rectángulo 260">
                    <a:extLst>
                      <a:ext uri="{FF2B5EF4-FFF2-40B4-BE49-F238E27FC236}">
                        <a16:creationId xmlns:a16="http://schemas.microsoft.com/office/drawing/2014/main" id="{00000000-0008-0000-0A00-00006D020000}"/>
                      </a:ext>
                    </a:extLst>
                  </xdr:cNvPr>
                  <xdr:cNvSpPr/>
                </xdr:nvSpPr>
                <xdr:spPr>
                  <a:xfrm>
                    <a:off x="16094999" y="1658121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7DE3F5E-64EF-4B3D-BEA1-B3D5DD9F9EFB}"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5">
                <xdr:nvSpPr>
                  <xdr:cNvPr id="262" name="Rectángulo 261">
                    <a:extLst>
                      <a:ext uri="{FF2B5EF4-FFF2-40B4-BE49-F238E27FC236}">
                        <a16:creationId xmlns:a16="http://schemas.microsoft.com/office/drawing/2014/main" id="{00000000-0008-0000-0A00-00006E020000}"/>
                      </a:ext>
                    </a:extLst>
                  </xdr:cNvPr>
                  <xdr:cNvSpPr/>
                </xdr:nvSpPr>
                <xdr:spPr>
                  <a:xfrm>
                    <a:off x="16380995" y="1658121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C7D9F87-8CCD-4AB5-87D1-04131D2737F5}" type="TxLink">
                      <a:rPr lang="en-US" sz="1100" b="1" i="0" u="none" strike="noStrike">
                        <a:solidFill>
                          <a:srgbClr val="FFFF00"/>
                        </a:solidFill>
                        <a:latin typeface="Century Gothic"/>
                      </a:rPr>
                      <a:pPr algn="ctr"/>
                      <a:t>9</a:t>
                    </a:fld>
                    <a:endParaRPr lang="es-CO" sz="1100" b="1">
                      <a:solidFill>
                        <a:srgbClr val="FFFF00"/>
                      </a:solidFill>
                    </a:endParaRPr>
                  </a:p>
                </xdr:txBody>
              </xdr:sp>
            </xdr:grpSp>
          </xdr:grpSp>
        </xdr:grpSp>
      </xdr:grpSp>
    </xdr:grpSp>
    <xdr:clientData/>
  </xdr:twoCellAnchor>
  <xdr:twoCellAnchor editAs="absolute">
    <xdr:from>
      <xdr:col>26</xdr:col>
      <xdr:colOff>246754</xdr:colOff>
      <xdr:row>35</xdr:row>
      <xdr:rowOff>164511</xdr:rowOff>
    </xdr:from>
    <xdr:to>
      <xdr:col>40</xdr:col>
      <xdr:colOff>564197</xdr:colOff>
      <xdr:row>73</xdr:row>
      <xdr:rowOff>80413</xdr:rowOff>
    </xdr:to>
    <xdr:grpSp>
      <xdr:nvGrpSpPr>
        <xdr:cNvPr id="478" name="Grupo 477">
          <a:extLst>
            <a:ext uri="{FF2B5EF4-FFF2-40B4-BE49-F238E27FC236}">
              <a16:creationId xmlns:a16="http://schemas.microsoft.com/office/drawing/2014/main" id="{00000000-0008-0000-0A00-000008000000}"/>
            </a:ext>
          </a:extLst>
        </xdr:cNvPr>
        <xdr:cNvGrpSpPr/>
      </xdr:nvGrpSpPr>
      <xdr:grpSpPr>
        <a:xfrm>
          <a:off x="11499861" y="9580654"/>
          <a:ext cx="10985443" cy="7671973"/>
          <a:chOff x="11499861" y="9594261"/>
          <a:chExt cx="10985443" cy="7671973"/>
        </a:xfrm>
      </xdr:grpSpPr>
      <xdr:grpSp>
        <xdr:nvGrpSpPr>
          <xdr:cNvPr id="479" name="Grupo 478">
            <a:extLst>
              <a:ext uri="{FF2B5EF4-FFF2-40B4-BE49-F238E27FC236}">
                <a16:creationId xmlns:a16="http://schemas.microsoft.com/office/drawing/2014/main" id="{00000000-0008-0000-0A00-00009F030000}"/>
              </a:ext>
            </a:extLst>
          </xdr:cNvPr>
          <xdr:cNvGrpSpPr/>
        </xdr:nvGrpSpPr>
        <xdr:grpSpPr>
          <a:xfrm>
            <a:off x="11511521" y="9594261"/>
            <a:ext cx="10928940" cy="828060"/>
            <a:chOff x="23474890" y="9420678"/>
            <a:chExt cx="10923595" cy="858507"/>
          </a:xfrm>
        </xdr:grpSpPr>
        <xdr:sp macro="" textlink="">
          <xdr:nvSpPr>
            <xdr:cNvPr id="709" name="Rectángulo 708">
              <a:extLst>
                <a:ext uri="{FF2B5EF4-FFF2-40B4-BE49-F238E27FC236}">
                  <a16:creationId xmlns:a16="http://schemas.microsoft.com/office/drawing/2014/main" id="{00000000-0008-0000-0A00-00007A030000}"/>
                </a:ext>
              </a:extLst>
            </xdr:cNvPr>
            <xdr:cNvSpPr/>
          </xdr:nvSpPr>
          <xdr:spPr>
            <a:xfrm>
              <a:off x="23474890" y="9420678"/>
              <a:ext cx="9967123" cy="858507"/>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latin typeface="Century Gothic" panose="020B0502020202020204" pitchFamily="34" charset="0"/>
                </a:rPr>
                <a:t>PROPORCION DE ACCIONES DE MEJORA CUMPLIDAS DE LAS AUDITORÍAS CON ENFOQUE EN RIESGOS, ESE METROSALUD, 2019 - 2023</a:t>
              </a:r>
            </a:p>
          </xdr:txBody>
        </xdr:sp>
        <xdr:grpSp>
          <xdr:nvGrpSpPr>
            <xdr:cNvPr id="710" name="Grupo 709">
              <a:extLst>
                <a:ext uri="{FF2B5EF4-FFF2-40B4-BE49-F238E27FC236}">
                  <a16:creationId xmlns:a16="http://schemas.microsoft.com/office/drawing/2014/main" id="{00000000-0008-0000-0A00-00007B030000}"/>
                </a:ext>
              </a:extLst>
            </xdr:cNvPr>
            <xdr:cNvGrpSpPr/>
          </xdr:nvGrpSpPr>
          <xdr:grpSpPr>
            <a:xfrm>
              <a:off x="33484095" y="9420678"/>
              <a:ext cx="914390" cy="858507"/>
              <a:chOff x="21875553" y="10589079"/>
              <a:chExt cx="913163" cy="842845"/>
            </a:xfrm>
          </xdr:grpSpPr>
          <xdr:sp macro="" textlink="$P$32">
            <xdr:nvSpPr>
              <xdr:cNvPr id="711" name="Rectángulo 710">
                <a:extLst>
                  <a:ext uri="{FF2B5EF4-FFF2-40B4-BE49-F238E27FC236}">
                    <a16:creationId xmlns:a16="http://schemas.microsoft.com/office/drawing/2014/main" id="{00000000-0008-0000-0A00-00007C030000}"/>
                  </a:ext>
                </a:extLst>
              </xdr:cNvPr>
              <xdr:cNvSpPr/>
            </xdr:nvSpPr>
            <xdr:spPr>
              <a:xfrm>
                <a:off x="21875553"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85D49E2-9417-4908-B95E-0920E68470EF}" type="TxLink">
                  <a:rPr lang="en-US" sz="1800" b="1" i="0" u="none" strike="noStrike">
                    <a:solidFill>
                      <a:srgbClr val="000000"/>
                    </a:solidFill>
                    <a:latin typeface="Century Gothic"/>
                  </a:rPr>
                  <a:pPr algn="ctr"/>
                  <a:t>29,5%</a:t>
                </a:fld>
                <a:endParaRPr lang="es-CO" sz="11500">
                  <a:solidFill>
                    <a:schemeClr val="tx1">
                      <a:lumMod val="95000"/>
                      <a:lumOff val="5000"/>
                    </a:schemeClr>
                  </a:solidFill>
                </a:endParaRPr>
              </a:p>
            </xdr:txBody>
          </xdr:sp>
          <xdr:grpSp>
            <xdr:nvGrpSpPr>
              <xdr:cNvPr id="712" name="Grupo 711">
                <a:extLst>
                  <a:ext uri="{FF2B5EF4-FFF2-40B4-BE49-F238E27FC236}">
                    <a16:creationId xmlns:a16="http://schemas.microsoft.com/office/drawing/2014/main" id="{00000000-0008-0000-0A00-00007D030000}"/>
                  </a:ext>
                </a:extLst>
              </xdr:cNvPr>
              <xdr:cNvGrpSpPr/>
            </xdr:nvGrpSpPr>
            <xdr:grpSpPr>
              <a:xfrm>
                <a:off x="21876503" y="11129223"/>
                <a:ext cx="898782" cy="285384"/>
                <a:chOff x="21876503" y="11129223"/>
                <a:chExt cx="898782" cy="285384"/>
              </a:xfrm>
            </xdr:grpSpPr>
            <xdr:sp macro="" textlink="$O$32">
              <xdr:nvSpPr>
                <xdr:cNvPr id="713" name="Rectángulo 712">
                  <a:extLst>
                    <a:ext uri="{FF2B5EF4-FFF2-40B4-BE49-F238E27FC236}">
                      <a16:creationId xmlns:a16="http://schemas.microsoft.com/office/drawing/2014/main" id="{00000000-0008-0000-0A00-00007E03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54568F-49CB-4CC2-84E5-D5DBEDF33A80}" type="TxLink">
                    <a:rPr lang="en-US" sz="1100" b="1" i="0" u="none" strike="noStrike">
                      <a:solidFill>
                        <a:srgbClr val="000000"/>
                      </a:solidFill>
                      <a:latin typeface="Century Gothic"/>
                    </a:rPr>
                    <a:pPr algn="ctr"/>
                    <a:t>72</a:t>
                  </a:fld>
                  <a:endParaRPr lang="es-CO" sz="1100">
                    <a:solidFill>
                      <a:schemeClr val="tx1">
                        <a:lumMod val="95000"/>
                        <a:lumOff val="5000"/>
                      </a:schemeClr>
                    </a:solidFill>
                  </a:endParaRPr>
                </a:p>
              </xdr:txBody>
            </xdr:sp>
            <xdr:sp macro="" textlink="">
              <xdr:nvSpPr>
                <xdr:cNvPr id="714" name="CuadroTexto 713">
                  <a:extLst>
                    <a:ext uri="{FF2B5EF4-FFF2-40B4-BE49-F238E27FC236}">
                      <a16:creationId xmlns:a16="http://schemas.microsoft.com/office/drawing/2014/main" id="{00000000-0008-0000-0A00-00007F030000}"/>
                    </a:ext>
                  </a:extLst>
                </xdr:cNvPr>
                <xdr:cNvSpPr txBox="1"/>
              </xdr:nvSpPr>
              <xdr:spPr>
                <a:xfrm>
                  <a:off x="21876503" y="11129223"/>
                  <a:ext cx="898782"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latin typeface="Century Gothic" panose="020B0502020202020204" pitchFamily="34" charset="0"/>
                    </a:rPr>
                    <a:t>(       /  </a:t>
                  </a:r>
                  <a:r>
                    <a:rPr lang="es-CO" sz="1100" i="0" baseline="0">
                      <a:latin typeface="Century Gothic" panose="020B0502020202020204" pitchFamily="34" charset="0"/>
                    </a:rPr>
                    <a:t>      </a:t>
                  </a:r>
                  <a:r>
                    <a:rPr lang="es-CO" sz="1100" i="0">
                      <a:latin typeface="Century Gothic" panose="020B0502020202020204" pitchFamily="34" charset="0"/>
                    </a:rPr>
                    <a:t>)</a:t>
                  </a:r>
                </a:p>
              </xdr:txBody>
            </xdr:sp>
            <xdr:sp macro="" textlink="$V$32">
              <xdr:nvSpPr>
                <xdr:cNvPr id="715" name="Rectángulo 714">
                  <a:extLst>
                    <a:ext uri="{FF2B5EF4-FFF2-40B4-BE49-F238E27FC236}">
                      <a16:creationId xmlns:a16="http://schemas.microsoft.com/office/drawing/2014/main" id="{00000000-0008-0000-0A00-00008003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4573DAD-11B7-43CA-9A68-7B4FA7F83F37}" type="TxLink">
                    <a:rPr lang="en-US" sz="1100" b="1" i="0" u="none" strike="noStrike">
                      <a:solidFill>
                        <a:srgbClr val="000000"/>
                      </a:solidFill>
                      <a:latin typeface="Century Gothic"/>
                    </a:rPr>
                    <a:pPr algn="ctr"/>
                    <a:t>244</a:t>
                  </a:fld>
                  <a:endParaRPr lang="es-CO" sz="1100">
                    <a:solidFill>
                      <a:schemeClr val="tx1">
                        <a:lumMod val="95000"/>
                        <a:lumOff val="5000"/>
                      </a:schemeClr>
                    </a:solidFill>
                  </a:endParaRPr>
                </a:p>
              </xdr:txBody>
            </xdr:sp>
          </xdr:grpSp>
        </xdr:grpSp>
      </xdr:grpSp>
      <xdr:sp macro="" textlink="">
        <xdr:nvSpPr>
          <xdr:cNvPr id="480" name="Rectángulo redondeado 479">
            <a:extLst>
              <a:ext uri="{FF2B5EF4-FFF2-40B4-BE49-F238E27FC236}">
                <a16:creationId xmlns:a16="http://schemas.microsoft.com/office/drawing/2014/main" id="{00000000-0008-0000-0A00-0000A4020000}"/>
              </a:ext>
            </a:extLst>
          </xdr:cNvPr>
          <xdr:cNvSpPr/>
        </xdr:nvSpPr>
        <xdr:spPr>
          <a:xfrm>
            <a:off x="11499861" y="10532426"/>
            <a:ext cx="10985443" cy="6733808"/>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81" name="Grupo 480">
            <a:extLst>
              <a:ext uri="{FF2B5EF4-FFF2-40B4-BE49-F238E27FC236}">
                <a16:creationId xmlns:a16="http://schemas.microsoft.com/office/drawing/2014/main" id="{00000000-0008-0000-0A00-000007000000}"/>
              </a:ext>
            </a:extLst>
          </xdr:cNvPr>
          <xdr:cNvGrpSpPr/>
        </xdr:nvGrpSpPr>
        <xdr:grpSpPr>
          <a:xfrm>
            <a:off x="11628297" y="10545796"/>
            <a:ext cx="10702250" cy="1610668"/>
            <a:chOff x="11628297" y="10545796"/>
            <a:chExt cx="10702250" cy="1610668"/>
          </a:xfrm>
        </xdr:grpSpPr>
        <xdr:sp macro="" textlink="">
          <xdr:nvSpPr>
            <xdr:cNvPr id="667" name="Flecha abajo 666">
              <a:extLst>
                <a:ext uri="{FF2B5EF4-FFF2-40B4-BE49-F238E27FC236}">
                  <a16:creationId xmlns:a16="http://schemas.microsoft.com/office/drawing/2014/main" id="{00000000-0008-0000-0A00-000052030000}"/>
                </a:ext>
              </a:extLst>
            </xdr:cNvPr>
            <xdr:cNvSpPr/>
          </xdr:nvSpPr>
          <xdr:spPr>
            <a:xfrm>
              <a:off x="17013962" y="11837194"/>
              <a:ext cx="468861" cy="286487"/>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68" name="Grupo 667">
              <a:extLst>
                <a:ext uri="{FF2B5EF4-FFF2-40B4-BE49-F238E27FC236}">
                  <a16:creationId xmlns:a16="http://schemas.microsoft.com/office/drawing/2014/main" id="{00000000-0008-0000-0A00-000006000000}"/>
                </a:ext>
              </a:extLst>
            </xdr:cNvPr>
            <xdr:cNvGrpSpPr/>
          </xdr:nvGrpSpPr>
          <xdr:grpSpPr>
            <a:xfrm>
              <a:off x="11628297" y="10545796"/>
              <a:ext cx="10702250" cy="1610668"/>
              <a:chOff x="11628297" y="10545796"/>
              <a:chExt cx="10702250" cy="1610668"/>
            </a:xfrm>
          </xdr:grpSpPr>
          <xdr:grpSp>
            <xdr:nvGrpSpPr>
              <xdr:cNvPr id="669" name="Grupo 668">
                <a:extLst>
                  <a:ext uri="{FF2B5EF4-FFF2-40B4-BE49-F238E27FC236}">
                    <a16:creationId xmlns:a16="http://schemas.microsoft.com/office/drawing/2014/main" id="{00000000-0008-0000-0A00-000051030000}"/>
                  </a:ext>
                </a:extLst>
              </xdr:cNvPr>
              <xdr:cNvGrpSpPr/>
            </xdr:nvGrpSpPr>
            <xdr:grpSpPr>
              <a:xfrm>
                <a:off x="11628297" y="10545796"/>
                <a:ext cx="720357" cy="1610668"/>
                <a:chOff x="27309535" y="8324853"/>
                <a:chExt cx="719033" cy="1610348"/>
              </a:xfrm>
            </xdr:grpSpPr>
            <xdr:sp macro="" textlink="">
              <xdr:nvSpPr>
                <xdr:cNvPr id="707" name="Rectángulo 706">
                  <a:extLst>
                    <a:ext uri="{FF2B5EF4-FFF2-40B4-BE49-F238E27FC236}">
                      <a16:creationId xmlns:a16="http://schemas.microsoft.com/office/drawing/2014/main" id="{00000000-0008-0000-0A00-000078030000}"/>
                    </a:ext>
                  </a:extLst>
                </xdr:cNvPr>
                <xdr:cNvSpPr/>
              </xdr:nvSpPr>
              <xdr:spPr>
                <a:xfrm>
                  <a:off x="27309535" y="8450034"/>
                  <a:ext cx="719033"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708" name="CuadroTexto 707">
                  <a:extLst>
                    <a:ext uri="{FF2B5EF4-FFF2-40B4-BE49-F238E27FC236}">
                      <a16:creationId xmlns:a16="http://schemas.microsoft.com/office/drawing/2014/main" id="{00000000-0008-0000-0A00-000079030000}"/>
                    </a:ext>
                  </a:extLst>
                </xdr:cNvPr>
                <xdr:cNvSpPr txBox="1"/>
              </xdr:nvSpPr>
              <xdr:spPr>
                <a:xfrm rot="16200000">
                  <a:off x="26864250"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grpSp>
            <xdr:nvGrpSpPr>
              <xdr:cNvPr id="670" name="Grupo 669">
                <a:extLst>
                  <a:ext uri="{FF2B5EF4-FFF2-40B4-BE49-F238E27FC236}">
                    <a16:creationId xmlns:a16="http://schemas.microsoft.com/office/drawing/2014/main" id="{00000000-0008-0000-0A00-000003000000}"/>
                  </a:ext>
                </a:extLst>
              </xdr:cNvPr>
              <xdr:cNvGrpSpPr/>
            </xdr:nvGrpSpPr>
            <xdr:grpSpPr>
              <a:xfrm>
                <a:off x="12424862" y="11020792"/>
                <a:ext cx="2627912" cy="737197"/>
                <a:chOff x="12424862" y="11020792"/>
                <a:chExt cx="2627912" cy="737197"/>
              </a:xfrm>
            </xdr:grpSpPr>
            <xdr:grpSp>
              <xdr:nvGrpSpPr>
                <xdr:cNvPr id="698" name="Grupo 697">
                  <a:extLst>
                    <a:ext uri="{FF2B5EF4-FFF2-40B4-BE49-F238E27FC236}">
                      <a16:creationId xmlns:a16="http://schemas.microsoft.com/office/drawing/2014/main" id="{00000000-0008-0000-0A00-00006F030000}"/>
                    </a:ext>
                  </a:extLst>
                </xdr:cNvPr>
                <xdr:cNvGrpSpPr/>
              </xdr:nvGrpSpPr>
              <xdr:grpSpPr>
                <a:xfrm>
                  <a:off x="12424862" y="11020792"/>
                  <a:ext cx="2627912" cy="721687"/>
                  <a:chOff x="12791456" y="12043791"/>
                  <a:chExt cx="2623086" cy="734845"/>
                </a:xfrm>
              </xdr:grpSpPr>
              <xdr:grpSp>
                <xdr:nvGrpSpPr>
                  <xdr:cNvPr id="703" name="Grupo 702">
                    <a:extLst>
                      <a:ext uri="{FF2B5EF4-FFF2-40B4-BE49-F238E27FC236}">
                        <a16:creationId xmlns:a16="http://schemas.microsoft.com/office/drawing/2014/main" id="{00000000-0008-0000-0A00-000074030000}"/>
                      </a:ext>
                    </a:extLst>
                  </xdr:cNvPr>
                  <xdr:cNvGrpSpPr/>
                </xdr:nvGrpSpPr>
                <xdr:grpSpPr>
                  <a:xfrm>
                    <a:off x="12791456" y="12043791"/>
                    <a:ext cx="2623086" cy="734845"/>
                    <a:chOff x="12791456" y="12043791"/>
                    <a:chExt cx="2623086" cy="734845"/>
                  </a:xfrm>
                </xdr:grpSpPr>
                <xdr:sp macro="" textlink="">
                  <xdr:nvSpPr>
                    <xdr:cNvPr id="705" name="Cheurón 704">
                      <a:extLst>
                        <a:ext uri="{FF2B5EF4-FFF2-40B4-BE49-F238E27FC236}">
                          <a16:creationId xmlns:a16="http://schemas.microsoft.com/office/drawing/2014/main" id="{00000000-0008-0000-0A00-000076030000}"/>
                        </a:ext>
                      </a:extLst>
                    </xdr:cNvPr>
                    <xdr:cNvSpPr/>
                  </xdr:nvSpPr>
                  <xdr:spPr>
                    <a:xfrm>
                      <a:off x="12791456" y="12043791"/>
                      <a:ext cx="2623086" cy="734845"/>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06" name="CuadroTexto 705">
                      <a:extLst>
                        <a:ext uri="{FF2B5EF4-FFF2-40B4-BE49-F238E27FC236}">
                          <a16:creationId xmlns:a16="http://schemas.microsoft.com/office/drawing/2014/main" id="{00000000-0008-0000-0A00-000077030000}"/>
                        </a:ext>
                      </a:extLst>
                    </xdr:cNvPr>
                    <xdr:cNvSpPr txBox="1"/>
                  </xdr:nvSpPr>
                  <xdr:spPr>
                    <a:xfrm>
                      <a:off x="12990347" y="12201748"/>
                      <a:ext cx="1710407" cy="44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grpSp>
              <xdr:sp macro="" textlink="$P$6">
                <xdr:nvSpPr>
                  <xdr:cNvPr id="704" name="Rectángulo redondeado 703">
                    <a:extLst>
                      <a:ext uri="{FF2B5EF4-FFF2-40B4-BE49-F238E27FC236}">
                        <a16:creationId xmlns:a16="http://schemas.microsoft.com/office/drawing/2014/main" id="{00000000-0008-0000-0A00-000075030000}"/>
                      </a:ext>
                    </a:extLst>
                  </xdr:cNvPr>
                  <xdr:cNvSpPr/>
                </xdr:nvSpPr>
                <xdr:spPr>
                  <a:xfrm>
                    <a:off x="14441374" y="12157963"/>
                    <a:ext cx="934250" cy="5126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0B9951-99AD-4B57-9599-F5F4DFD51AE4}" type="TxLink">
                      <a:rPr lang="en-US" sz="1600" b="1" i="0" u="none" strike="noStrike">
                        <a:solidFill>
                          <a:srgbClr val="FFFF00"/>
                        </a:solidFill>
                        <a:latin typeface="Century Gothic"/>
                      </a:rPr>
                      <a:pPr algn="ctr"/>
                      <a:t>-</a:t>
                    </a:fld>
                    <a:endParaRPr lang="es-CO" sz="3200">
                      <a:solidFill>
                        <a:srgbClr val="FFFF00"/>
                      </a:solidFill>
                    </a:endParaRPr>
                  </a:p>
                </xdr:txBody>
              </xdr:sp>
            </xdr:grpSp>
            <xdr:grpSp>
              <xdr:nvGrpSpPr>
                <xdr:cNvPr id="699" name="Grupo 698">
                  <a:extLst>
                    <a:ext uri="{FF2B5EF4-FFF2-40B4-BE49-F238E27FC236}">
                      <a16:creationId xmlns:a16="http://schemas.microsoft.com/office/drawing/2014/main" id="{00000000-0008-0000-0A00-000002000000}"/>
                    </a:ext>
                  </a:extLst>
                </xdr:cNvPr>
                <xdr:cNvGrpSpPr/>
              </xdr:nvGrpSpPr>
              <xdr:grpSpPr>
                <a:xfrm>
                  <a:off x="14080094" y="11468564"/>
                  <a:ext cx="829523" cy="289425"/>
                  <a:chOff x="14080094" y="11468564"/>
                  <a:chExt cx="829523" cy="289425"/>
                </a:xfrm>
              </xdr:grpSpPr>
              <xdr:sp macro="" textlink="$O$6">
                <xdr:nvSpPr>
                  <xdr:cNvPr id="700" name="Rectángulo 699">
                    <a:extLst>
                      <a:ext uri="{FF2B5EF4-FFF2-40B4-BE49-F238E27FC236}">
                        <a16:creationId xmlns:a16="http://schemas.microsoft.com/office/drawing/2014/main" id="{00000000-0008-0000-0A00-000071030000}"/>
                      </a:ext>
                    </a:extLst>
                  </xdr:cNvPr>
                  <xdr:cNvSpPr/>
                </xdr:nvSpPr>
                <xdr:spPr>
                  <a:xfrm>
                    <a:off x="14121333" y="11483430"/>
                    <a:ext cx="432795" cy="2745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8309385-39F2-4D7C-8A93-448A93CE4AC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6">
                <xdr:nvSpPr>
                  <xdr:cNvPr id="701" name="Rectángulo 700">
                    <a:extLst>
                      <a:ext uri="{FF2B5EF4-FFF2-40B4-BE49-F238E27FC236}">
                        <a16:creationId xmlns:a16="http://schemas.microsoft.com/office/drawing/2014/main" id="{00000000-0008-0000-0A00-000072030000}"/>
                      </a:ext>
                    </a:extLst>
                  </xdr:cNvPr>
                  <xdr:cNvSpPr/>
                </xdr:nvSpPr>
                <xdr:spPr>
                  <a:xfrm>
                    <a:off x="14416535" y="11483430"/>
                    <a:ext cx="432795" cy="2745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EAE5A3-7CFE-426C-BD5F-113C89FC0C3C}"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
                <xdr:nvSpPr>
                  <xdr:cNvPr id="702" name="CuadroTexto 701">
                    <a:extLst>
                      <a:ext uri="{FF2B5EF4-FFF2-40B4-BE49-F238E27FC236}">
                        <a16:creationId xmlns:a16="http://schemas.microsoft.com/office/drawing/2014/main" id="{00000000-0008-0000-0A00-000073030000}"/>
                      </a:ext>
                    </a:extLst>
                  </xdr:cNvPr>
                  <xdr:cNvSpPr txBox="1"/>
                </xdr:nvSpPr>
                <xdr:spPr>
                  <a:xfrm>
                    <a:off x="14080094" y="11468564"/>
                    <a:ext cx="829523" cy="26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71" name="Grupo 670">
                <a:extLst>
                  <a:ext uri="{FF2B5EF4-FFF2-40B4-BE49-F238E27FC236}">
                    <a16:creationId xmlns:a16="http://schemas.microsoft.com/office/drawing/2014/main" id="{00000000-0008-0000-0A00-000004000000}"/>
                  </a:ext>
                </a:extLst>
              </xdr:cNvPr>
              <xdr:cNvGrpSpPr/>
            </xdr:nvGrpSpPr>
            <xdr:grpSpPr>
              <a:xfrm>
                <a:off x="14849150" y="11020792"/>
                <a:ext cx="2632838" cy="737200"/>
                <a:chOff x="14849150" y="11020792"/>
                <a:chExt cx="2632838" cy="737200"/>
              </a:xfrm>
            </xdr:grpSpPr>
            <xdr:grpSp>
              <xdr:nvGrpSpPr>
                <xdr:cNvPr id="690" name="Grupo 689">
                  <a:extLst>
                    <a:ext uri="{FF2B5EF4-FFF2-40B4-BE49-F238E27FC236}">
                      <a16:creationId xmlns:a16="http://schemas.microsoft.com/office/drawing/2014/main" id="{00000000-0008-0000-0A00-000067030000}"/>
                    </a:ext>
                  </a:extLst>
                </xdr:cNvPr>
                <xdr:cNvGrpSpPr/>
              </xdr:nvGrpSpPr>
              <xdr:grpSpPr>
                <a:xfrm>
                  <a:off x="14849150" y="11020792"/>
                  <a:ext cx="2632838" cy="721687"/>
                  <a:chOff x="28594637" y="2081892"/>
                  <a:chExt cx="2433637" cy="585107"/>
                </a:xfrm>
              </xdr:grpSpPr>
              <xdr:sp macro="" textlink="">
                <xdr:nvSpPr>
                  <xdr:cNvPr id="695" name="Cheurón 694">
                    <a:extLst>
                      <a:ext uri="{FF2B5EF4-FFF2-40B4-BE49-F238E27FC236}">
                        <a16:creationId xmlns:a16="http://schemas.microsoft.com/office/drawing/2014/main" id="{00000000-0008-0000-0A00-00006C03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96" name="CuadroTexto 695">
                    <a:extLst>
                      <a:ext uri="{FF2B5EF4-FFF2-40B4-BE49-F238E27FC236}">
                        <a16:creationId xmlns:a16="http://schemas.microsoft.com/office/drawing/2014/main" id="{00000000-0008-0000-0A00-00006D030000}"/>
                      </a:ext>
                    </a:extLst>
                  </xdr:cNvPr>
                  <xdr:cNvSpPr txBox="1"/>
                </xdr:nvSpPr>
                <xdr:spPr>
                  <a:xfrm>
                    <a:off x="2881925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P$7">
                <xdr:nvSpPr>
                  <xdr:cNvPr id="697" name="Rectángulo redondeado 696">
                    <a:extLst>
                      <a:ext uri="{FF2B5EF4-FFF2-40B4-BE49-F238E27FC236}">
                        <a16:creationId xmlns:a16="http://schemas.microsoft.com/office/drawing/2014/main" id="{00000000-0008-0000-0A00-00006E030000}"/>
                      </a:ext>
                    </a:extLst>
                  </xdr:cNvPr>
                  <xdr:cNvSpPr/>
                </xdr:nvSpPr>
                <xdr:spPr>
                  <a:xfrm>
                    <a:off x="30140480" y="2172799"/>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786A84D-ABA5-4E7C-9FA0-E1A17B8F17E5}" type="TxLink">
                      <a:rPr lang="en-US" sz="1600" b="1" i="0" u="none" strike="noStrike">
                        <a:solidFill>
                          <a:srgbClr val="FFFF00"/>
                        </a:solidFill>
                        <a:latin typeface="Century Gothic"/>
                      </a:rPr>
                      <a:pPr algn="ctr"/>
                      <a:t>85,7%</a:t>
                    </a:fld>
                    <a:endParaRPr lang="es-CO" sz="3200">
                      <a:solidFill>
                        <a:srgbClr val="FFFF00"/>
                      </a:solidFill>
                    </a:endParaRPr>
                  </a:p>
                </xdr:txBody>
              </xdr:sp>
            </xdr:grpSp>
            <xdr:grpSp>
              <xdr:nvGrpSpPr>
                <xdr:cNvPr id="691" name="Grupo 690">
                  <a:extLst>
                    <a:ext uri="{FF2B5EF4-FFF2-40B4-BE49-F238E27FC236}">
                      <a16:creationId xmlns:a16="http://schemas.microsoft.com/office/drawing/2014/main" id="{00000000-0008-0000-0A00-000068030000}"/>
                    </a:ext>
                  </a:extLst>
                </xdr:cNvPr>
                <xdr:cNvGrpSpPr/>
              </xdr:nvGrpSpPr>
              <xdr:grpSpPr>
                <a:xfrm>
                  <a:off x="16496521" y="11463463"/>
                  <a:ext cx="829524" cy="294529"/>
                  <a:chOff x="16855636" y="12601355"/>
                  <a:chExt cx="828000" cy="299899"/>
                </a:xfrm>
              </xdr:grpSpPr>
              <xdr:sp macro="" textlink="$O$7">
                <xdr:nvSpPr>
                  <xdr:cNvPr id="692" name="Rectángulo 691">
                    <a:extLst>
                      <a:ext uri="{FF2B5EF4-FFF2-40B4-BE49-F238E27FC236}">
                        <a16:creationId xmlns:a16="http://schemas.microsoft.com/office/drawing/2014/main" id="{00000000-0008-0000-0A00-000069030000}"/>
                      </a:ext>
                    </a:extLst>
                  </xdr:cNvPr>
                  <xdr:cNvSpPr/>
                </xdr:nvSpPr>
                <xdr:spPr>
                  <a:xfrm>
                    <a:off x="16903633"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92D54A-8F7C-408D-B315-6C8F37C6F287}"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V$7">
                <xdr:nvSpPr>
                  <xdr:cNvPr id="693" name="Rectángulo 692">
                    <a:extLst>
                      <a:ext uri="{FF2B5EF4-FFF2-40B4-BE49-F238E27FC236}">
                        <a16:creationId xmlns:a16="http://schemas.microsoft.com/office/drawing/2014/main" id="{00000000-0008-0000-0A00-00006A030000}"/>
                      </a:ext>
                    </a:extLst>
                  </xdr:cNvPr>
                  <xdr:cNvSpPr/>
                </xdr:nvSpPr>
                <xdr:spPr>
                  <a:xfrm>
                    <a:off x="17198288"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63248BD-B6C3-4FA6-AC08-CA6AAF38B079}" type="TxLink">
                      <a:rPr lang="en-US" sz="1100" b="1" i="0" u="none" strike="noStrike">
                        <a:solidFill>
                          <a:srgbClr val="FFFF00"/>
                        </a:solidFill>
                        <a:latin typeface="Century Gothic"/>
                      </a:rPr>
                      <a:pPr algn="ctr"/>
                      <a:t>14</a:t>
                    </a:fld>
                    <a:endParaRPr lang="es-CO" sz="1100" b="1">
                      <a:solidFill>
                        <a:srgbClr val="FFFF00"/>
                      </a:solidFill>
                    </a:endParaRPr>
                  </a:p>
                </xdr:txBody>
              </xdr:sp>
              <xdr:sp macro="" textlink="">
                <xdr:nvSpPr>
                  <xdr:cNvPr id="694" name="CuadroTexto 693">
                    <a:extLst>
                      <a:ext uri="{FF2B5EF4-FFF2-40B4-BE49-F238E27FC236}">
                        <a16:creationId xmlns:a16="http://schemas.microsoft.com/office/drawing/2014/main" id="{00000000-0008-0000-0A00-00006B030000}"/>
                      </a:ext>
                    </a:extLst>
                  </xdr:cNvPr>
                  <xdr:cNvSpPr txBox="1"/>
                </xdr:nvSpPr>
                <xdr:spPr>
                  <a:xfrm>
                    <a:off x="16855636" y="12601355"/>
                    <a:ext cx="828000" cy="268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72" name="Grupo 671">
                <a:extLst>
                  <a:ext uri="{FF2B5EF4-FFF2-40B4-BE49-F238E27FC236}">
                    <a16:creationId xmlns:a16="http://schemas.microsoft.com/office/drawing/2014/main" id="{00000000-0008-0000-0A00-000005000000}"/>
                  </a:ext>
                </a:extLst>
              </xdr:cNvPr>
              <xdr:cNvGrpSpPr/>
            </xdr:nvGrpSpPr>
            <xdr:grpSpPr>
              <a:xfrm>
                <a:off x="17278367" y="11020793"/>
                <a:ext cx="2627910" cy="737150"/>
                <a:chOff x="17278367" y="11020793"/>
                <a:chExt cx="2627910" cy="737150"/>
              </a:xfrm>
            </xdr:grpSpPr>
            <xdr:grpSp>
              <xdr:nvGrpSpPr>
                <xdr:cNvPr id="682" name="Grupo 681">
                  <a:extLst>
                    <a:ext uri="{FF2B5EF4-FFF2-40B4-BE49-F238E27FC236}">
                      <a16:creationId xmlns:a16="http://schemas.microsoft.com/office/drawing/2014/main" id="{00000000-0008-0000-0A00-00005F030000}"/>
                    </a:ext>
                  </a:extLst>
                </xdr:cNvPr>
                <xdr:cNvGrpSpPr/>
              </xdr:nvGrpSpPr>
              <xdr:grpSpPr>
                <a:xfrm>
                  <a:off x="17278367" y="11020793"/>
                  <a:ext cx="2627910" cy="721687"/>
                  <a:chOff x="28531632" y="2081892"/>
                  <a:chExt cx="2433638" cy="585107"/>
                </a:xfrm>
              </xdr:grpSpPr>
              <xdr:sp macro="" textlink="">
                <xdr:nvSpPr>
                  <xdr:cNvPr id="687" name="Cheurón 686">
                    <a:extLst>
                      <a:ext uri="{FF2B5EF4-FFF2-40B4-BE49-F238E27FC236}">
                        <a16:creationId xmlns:a16="http://schemas.microsoft.com/office/drawing/2014/main" id="{00000000-0008-0000-0A00-00006403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88" name="CuadroTexto 687">
                    <a:extLst>
                      <a:ext uri="{FF2B5EF4-FFF2-40B4-BE49-F238E27FC236}">
                        <a16:creationId xmlns:a16="http://schemas.microsoft.com/office/drawing/2014/main" id="{00000000-0008-0000-0A00-000065030000}"/>
                      </a:ext>
                    </a:extLst>
                  </xdr:cNvPr>
                  <xdr:cNvSpPr txBox="1"/>
                </xdr:nvSpPr>
                <xdr:spPr>
                  <a:xfrm>
                    <a:off x="28789623" y="2127664"/>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P$8">
                <xdr:nvSpPr>
                  <xdr:cNvPr id="689" name="Rectángulo redondeado 688">
                    <a:extLst>
                      <a:ext uri="{FF2B5EF4-FFF2-40B4-BE49-F238E27FC236}">
                        <a16:creationId xmlns:a16="http://schemas.microsoft.com/office/drawing/2014/main" id="{00000000-0008-0000-0A00-000066030000}"/>
                      </a:ext>
                    </a:extLst>
                  </xdr:cNvPr>
                  <xdr:cNvSpPr/>
                </xdr:nvSpPr>
                <xdr:spPr>
                  <a:xfrm>
                    <a:off x="300900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1F6E5E-7D44-48F3-A52E-DE60B8763AD2}" type="TxLink">
                      <a:rPr lang="en-US" sz="1600" b="1" i="0" u="none" strike="noStrike">
                        <a:solidFill>
                          <a:srgbClr val="FFFF00"/>
                        </a:solidFill>
                        <a:latin typeface="Century Gothic"/>
                      </a:rPr>
                      <a:pPr algn="ctr"/>
                      <a:t>-</a:t>
                    </a:fld>
                    <a:endParaRPr lang="es-CO" sz="4800">
                      <a:solidFill>
                        <a:srgbClr val="FFFF00"/>
                      </a:solidFill>
                    </a:endParaRPr>
                  </a:p>
                </xdr:txBody>
              </xdr:sp>
            </xdr:grpSp>
            <xdr:grpSp>
              <xdr:nvGrpSpPr>
                <xdr:cNvPr id="683" name="Grupo 682">
                  <a:extLst>
                    <a:ext uri="{FF2B5EF4-FFF2-40B4-BE49-F238E27FC236}">
                      <a16:creationId xmlns:a16="http://schemas.microsoft.com/office/drawing/2014/main" id="{00000000-0008-0000-0A00-000060030000}"/>
                    </a:ext>
                  </a:extLst>
                </xdr:cNvPr>
                <xdr:cNvGrpSpPr/>
              </xdr:nvGrpSpPr>
              <xdr:grpSpPr>
                <a:xfrm>
                  <a:off x="18951796" y="11483385"/>
                  <a:ext cx="829523" cy="274558"/>
                  <a:chOff x="19306403" y="12641831"/>
                  <a:chExt cx="828000" cy="279565"/>
                </a:xfrm>
              </xdr:grpSpPr>
              <xdr:sp macro="" textlink="$O$8">
                <xdr:nvSpPr>
                  <xdr:cNvPr id="684" name="Rectángulo 683">
                    <a:extLst>
                      <a:ext uri="{FF2B5EF4-FFF2-40B4-BE49-F238E27FC236}">
                        <a16:creationId xmlns:a16="http://schemas.microsoft.com/office/drawing/2014/main" id="{00000000-0008-0000-0A00-000061030000}"/>
                      </a:ext>
                    </a:extLst>
                  </xdr:cNvPr>
                  <xdr:cNvSpPr/>
                </xdr:nvSpPr>
                <xdr:spPr>
                  <a:xfrm>
                    <a:off x="19354400"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B89987-AF06-4511-A027-DF43F0B38D0B}"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V$8">
                <xdr:nvSpPr>
                  <xdr:cNvPr id="685" name="Rectángulo 684">
                    <a:extLst>
                      <a:ext uri="{FF2B5EF4-FFF2-40B4-BE49-F238E27FC236}">
                        <a16:creationId xmlns:a16="http://schemas.microsoft.com/office/drawing/2014/main" id="{00000000-0008-0000-0A00-000062030000}"/>
                      </a:ext>
                    </a:extLst>
                  </xdr:cNvPr>
                  <xdr:cNvSpPr/>
                </xdr:nvSpPr>
                <xdr:spPr>
                  <a:xfrm>
                    <a:off x="19649055"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46D433-7539-4BC4-8770-804699BB0EDC}"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
                <xdr:nvSpPr>
                  <xdr:cNvPr id="686" name="CuadroTexto 685">
                    <a:extLst>
                      <a:ext uri="{FF2B5EF4-FFF2-40B4-BE49-F238E27FC236}">
                        <a16:creationId xmlns:a16="http://schemas.microsoft.com/office/drawing/2014/main" id="{00000000-0008-0000-0A00-000063030000}"/>
                      </a:ext>
                    </a:extLst>
                  </xdr:cNvPr>
                  <xdr:cNvSpPr txBox="1"/>
                </xdr:nvSpPr>
                <xdr:spPr>
                  <a:xfrm>
                    <a:off x="19306403" y="12644010"/>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73" name="Grupo 672">
                <a:extLst>
                  <a:ext uri="{FF2B5EF4-FFF2-40B4-BE49-F238E27FC236}">
                    <a16:creationId xmlns:a16="http://schemas.microsoft.com/office/drawing/2014/main" id="{00000000-0008-0000-0A00-000056030000}"/>
                  </a:ext>
                </a:extLst>
              </xdr:cNvPr>
              <xdr:cNvGrpSpPr/>
            </xdr:nvGrpSpPr>
            <xdr:grpSpPr>
              <a:xfrm>
                <a:off x="19702668" y="11020792"/>
                <a:ext cx="2627879" cy="737197"/>
                <a:chOff x="20055895" y="12043791"/>
                <a:chExt cx="2623053" cy="750638"/>
              </a:xfrm>
            </xdr:grpSpPr>
            <xdr:grpSp>
              <xdr:nvGrpSpPr>
                <xdr:cNvPr id="674" name="Grupo 673">
                  <a:extLst>
                    <a:ext uri="{FF2B5EF4-FFF2-40B4-BE49-F238E27FC236}">
                      <a16:creationId xmlns:a16="http://schemas.microsoft.com/office/drawing/2014/main" id="{00000000-0008-0000-0A00-000057030000}"/>
                    </a:ext>
                  </a:extLst>
                </xdr:cNvPr>
                <xdr:cNvGrpSpPr/>
              </xdr:nvGrpSpPr>
              <xdr:grpSpPr>
                <a:xfrm>
                  <a:off x="20055895" y="12043791"/>
                  <a:ext cx="2623053" cy="734845"/>
                  <a:chOff x="28468627" y="2081892"/>
                  <a:chExt cx="2433638" cy="585107"/>
                </a:xfrm>
              </xdr:grpSpPr>
              <xdr:sp macro="" textlink="">
                <xdr:nvSpPr>
                  <xdr:cNvPr id="679" name="Cheurón 678">
                    <a:extLst>
                      <a:ext uri="{FF2B5EF4-FFF2-40B4-BE49-F238E27FC236}">
                        <a16:creationId xmlns:a16="http://schemas.microsoft.com/office/drawing/2014/main" id="{00000000-0008-0000-0A00-00005C03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80" name="CuadroTexto 679">
                    <a:extLst>
                      <a:ext uri="{FF2B5EF4-FFF2-40B4-BE49-F238E27FC236}">
                        <a16:creationId xmlns:a16="http://schemas.microsoft.com/office/drawing/2014/main" id="{00000000-0008-0000-0A00-00005D030000}"/>
                      </a:ext>
                    </a:extLst>
                  </xdr:cNvPr>
                  <xdr:cNvSpPr txBox="1"/>
                </xdr:nvSpPr>
                <xdr:spPr>
                  <a:xfrm>
                    <a:off x="28782571"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P$9">
                <xdr:nvSpPr>
                  <xdr:cNvPr id="681" name="Rectángulo redondeado 680">
                    <a:extLst>
                      <a:ext uri="{FF2B5EF4-FFF2-40B4-BE49-F238E27FC236}">
                        <a16:creationId xmlns:a16="http://schemas.microsoft.com/office/drawing/2014/main" id="{00000000-0008-0000-0A00-00005E030000}"/>
                      </a:ext>
                    </a:extLst>
                  </xdr:cNvPr>
                  <xdr:cNvSpPr/>
                </xdr:nvSpPr>
                <xdr:spPr>
                  <a:xfrm>
                    <a:off x="30000728"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E93C2AF-D81D-456E-B62B-3976DEF494AE}" type="TxLink">
                      <a:rPr lang="en-US" sz="1600" b="1" i="0" u="none" strike="noStrike">
                        <a:solidFill>
                          <a:srgbClr val="FFFF00"/>
                        </a:solidFill>
                        <a:latin typeface="Century Gothic"/>
                      </a:rPr>
                      <a:pPr algn="ctr"/>
                      <a:t>90,9%</a:t>
                    </a:fld>
                    <a:endParaRPr lang="es-CO" sz="3200">
                      <a:solidFill>
                        <a:srgbClr val="FFFF00"/>
                      </a:solidFill>
                    </a:endParaRPr>
                  </a:p>
                </xdr:txBody>
              </xdr:sp>
            </xdr:grpSp>
            <xdr:grpSp>
              <xdr:nvGrpSpPr>
                <xdr:cNvPr id="675" name="Grupo 674">
                  <a:extLst>
                    <a:ext uri="{FF2B5EF4-FFF2-40B4-BE49-F238E27FC236}">
                      <a16:creationId xmlns:a16="http://schemas.microsoft.com/office/drawing/2014/main" id="{00000000-0008-0000-0A00-000058030000}"/>
                    </a:ext>
                  </a:extLst>
                </xdr:cNvPr>
                <xdr:cNvGrpSpPr/>
              </xdr:nvGrpSpPr>
              <xdr:grpSpPr>
                <a:xfrm>
                  <a:off x="21697227" y="12499728"/>
                  <a:ext cx="825527" cy="294701"/>
                  <a:chOff x="21697227" y="12713285"/>
                  <a:chExt cx="825527" cy="294701"/>
                </a:xfrm>
              </xdr:grpSpPr>
              <xdr:sp macro="" textlink="$O$9">
                <xdr:nvSpPr>
                  <xdr:cNvPr id="676" name="Rectángulo 675">
                    <a:extLst>
                      <a:ext uri="{FF2B5EF4-FFF2-40B4-BE49-F238E27FC236}">
                        <a16:creationId xmlns:a16="http://schemas.microsoft.com/office/drawing/2014/main" id="{00000000-0008-0000-0A00-000059030000}"/>
                      </a:ext>
                    </a:extLst>
                  </xdr:cNvPr>
                  <xdr:cNvSpPr/>
                </xdr:nvSpPr>
                <xdr:spPr>
                  <a:xfrm>
                    <a:off x="21745223" y="12728421"/>
                    <a:ext cx="429527"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3C4EFCE-D851-4F37-A5D2-0C96E6F6509B}" type="TxLink">
                      <a:rPr lang="en-US" sz="1100" b="1" i="0" u="none" strike="noStrike">
                        <a:solidFill>
                          <a:srgbClr val="FFFF00"/>
                        </a:solidFill>
                        <a:latin typeface="Century Gothic"/>
                      </a:rPr>
                      <a:pPr algn="ctr"/>
                      <a:t>10</a:t>
                    </a:fld>
                    <a:endParaRPr lang="es-CO" sz="1100" b="1">
                      <a:solidFill>
                        <a:srgbClr val="FFFF00"/>
                      </a:solidFill>
                    </a:endParaRPr>
                  </a:p>
                </xdr:txBody>
              </xdr:sp>
              <xdr:sp macro="" textlink="$V$9">
                <xdr:nvSpPr>
                  <xdr:cNvPr id="677" name="Rectángulo 676">
                    <a:extLst>
                      <a:ext uri="{FF2B5EF4-FFF2-40B4-BE49-F238E27FC236}">
                        <a16:creationId xmlns:a16="http://schemas.microsoft.com/office/drawing/2014/main" id="{00000000-0008-0000-0A00-00005A030000}"/>
                      </a:ext>
                    </a:extLst>
                  </xdr:cNvPr>
                  <xdr:cNvSpPr/>
                </xdr:nvSpPr>
                <xdr:spPr>
                  <a:xfrm>
                    <a:off x="22037405" y="12728421"/>
                    <a:ext cx="422475"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AD80643-ECCF-4726-ABE4-9E3280DD566A}" type="TxLink">
                      <a:rPr lang="en-US" sz="1100" b="1" i="0" u="none" strike="noStrike">
                        <a:solidFill>
                          <a:srgbClr val="FFFF00"/>
                        </a:solidFill>
                        <a:latin typeface="Century Gothic"/>
                      </a:rPr>
                      <a:pPr algn="ctr"/>
                      <a:t>11</a:t>
                    </a:fld>
                    <a:endParaRPr lang="es-CO" sz="1100" b="1">
                      <a:solidFill>
                        <a:srgbClr val="FFFF00"/>
                      </a:solidFill>
                    </a:endParaRPr>
                  </a:p>
                </xdr:txBody>
              </xdr:sp>
              <xdr:sp macro="" textlink="">
                <xdr:nvSpPr>
                  <xdr:cNvPr id="678" name="CuadroTexto 677">
                    <a:extLst>
                      <a:ext uri="{FF2B5EF4-FFF2-40B4-BE49-F238E27FC236}">
                        <a16:creationId xmlns:a16="http://schemas.microsoft.com/office/drawing/2014/main" id="{00000000-0008-0000-0A00-00005B030000}"/>
                      </a:ext>
                    </a:extLst>
                  </xdr:cNvPr>
                  <xdr:cNvSpPr txBox="1"/>
                </xdr:nvSpPr>
                <xdr:spPr>
                  <a:xfrm>
                    <a:off x="21697227" y="12713285"/>
                    <a:ext cx="825527" cy="268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grpSp>
      <xdr:grpSp>
        <xdr:nvGrpSpPr>
          <xdr:cNvPr id="482" name="Grupo 481">
            <a:extLst>
              <a:ext uri="{FF2B5EF4-FFF2-40B4-BE49-F238E27FC236}">
                <a16:creationId xmlns:a16="http://schemas.microsoft.com/office/drawing/2014/main" id="{00000000-0008-0000-0A00-000099030000}"/>
              </a:ext>
            </a:extLst>
          </xdr:cNvPr>
          <xdr:cNvGrpSpPr/>
        </xdr:nvGrpSpPr>
        <xdr:grpSpPr>
          <a:xfrm>
            <a:off x="11614957" y="12172473"/>
            <a:ext cx="10748790" cy="1515792"/>
            <a:chOff x="23578289" y="12139226"/>
            <a:chExt cx="10743464" cy="1572111"/>
          </a:xfrm>
        </xdr:grpSpPr>
        <xdr:grpSp>
          <xdr:nvGrpSpPr>
            <xdr:cNvPr id="574" name="Grupo 573">
              <a:extLst>
                <a:ext uri="{FF2B5EF4-FFF2-40B4-BE49-F238E27FC236}">
                  <a16:creationId xmlns:a16="http://schemas.microsoft.com/office/drawing/2014/main" id="{00000000-0008-0000-0A00-0000F4020000}"/>
                </a:ext>
              </a:extLst>
            </xdr:cNvPr>
            <xdr:cNvGrpSpPr/>
          </xdr:nvGrpSpPr>
          <xdr:grpSpPr>
            <a:xfrm>
              <a:off x="24398491" y="12144861"/>
              <a:ext cx="2159944" cy="773877"/>
              <a:chOff x="12802141" y="13263561"/>
              <a:chExt cx="2157046" cy="759759"/>
            </a:xfrm>
          </xdr:grpSpPr>
          <xdr:grpSp>
            <xdr:nvGrpSpPr>
              <xdr:cNvPr id="659" name="Grupo 658">
                <a:extLst>
                  <a:ext uri="{FF2B5EF4-FFF2-40B4-BE49-F238E27FC236}">
                    <a16:creationId xmlns:a16="http://schemas.microsoft.com/office/drawing/2014/main" id="{00000000-0008-0000-0A00-000049030000}"/>
                  </a:ext>
                </a:extLst>
              </xdr:cNvPr>
              <xdr:cNvGrpSpPr/>
            </xdr:nvGrpSpPr>
            <xdr:grpSpPr>
              <a:xfrm>
                <a:off x="12802141" y="13263561"/>
                <a:ext cx="2157046" cy="732326"/>
                <a:chOff x="28686311" y="2081892"/>
                <a:chExt cx="2000250" cy="585107"/>
              </a:xfrm>
            </xdr:grpSpPr>
            <xdr:sp macro="" textlink="">
              <xdr:nvSpPr>
                <xdr:cNvPr id="664" name="Cheurón 663">
                  <a:extLst>
                    <a:ext uri="{FF2B5EF4-FFF2-40B4-BE49-F238E27FC236}">
                      <a16:creationId xmlns:a16="http://schemas.microsoft.com/office/drawing/2014/main" id="{00000000-0008-0000-0A00-00004E030000}"/>
                    </a:ext>
                  </a:extLst>
                </xdr:cNvPr>
                <xdr:cNvSpPr/>
              </xdr:nvSpPr>
              <xdr:spPr>
                <a:xfrm>
                  <a:off x="2868631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65" name="CuadroTexto 664">
                  <a:extLst>
                    <a:ext uri="{FF2B5EF4-FFF2-40B4-BE49-F238E27FC236}">
                      <a16:creationId xmlns:a16="http://schemas.microsoft.com/office/drawing/2014/main" id="{00000000-0008-0000-0A00-00004F030000}"/>
                    </a:ext>
                  </a:extLst>
                </xdr:cNvPr>
                <xdr:cNvSpPr txBox="1"/>
              </xdr:nvSpPr>
              <xdr:spPr>
                <a:xfrm>
                  <a:off x="28878836" y="2159695"/>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P$10">
              <xdr:nvSpPr>
                <xdr:cNvPr id="666" name="Rectángulo redondeado 665">
                  <a:extLst>
                    <a:ext uri="{FF2B5EF4-FFF2-40B4-BE49-F238E27FC236}">
                      <a16:creationId xmlns:a16="http://schemas.microsoft.com/office/drawing/2014/main" id="{00000000-0008-0000-0A00-000050030000}"/>
                    </a:ext>
                  </a:extLst>
                </xdr:cNvPr>
                <xdr:cNvSpPr/>
              </xdr:nvSpPr>
              <xdr:spPr>
                <a:xfrm>
                  <a:off x="29808259" y="217277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66E2DA-ABC8-4664-AD65-5473D8E176D2}" type="TxLink">
                    <a:rPr lang="en-US" sz="1600" b="1" i="0" u="none" strike="noStrike">
                      <a:solidFill>
                        <a:srgbClr val="FFFF00"/>
                      </a:solidFill>
                      <a:latin typeface="Century Gothic"/>
                    </a:rPr>
                    <a:pPr algn="ctr"/>
                    <a:t>35,3%</a:t>
                  </a:fld>
                  <a:endParaRPr lang="es-CO" sz="3200">
                    <a:solidFill>
                      <a:srgbClr val="FFFF00"/>
                    </a:solidFill>
                  </a:endParaRPr>
                </a:p>
              </xdr:txBody>
            </xdr:sp>
          </xdr:grpSp>
          <xdr:grpSp>
            <xdr:nvGrpSpPr>
              <xdr:cNvPr id="660" name="Grupo 659">
                <a:extLst>
                  <a:ext uri="{FF2B5EF4-FFF2-40B4-BE49-F238E27FC236}">
                    <a16:creationId xmlns:a16="http://schemas.microsoft.com/office/drawing/2014/main" id="{00000000-0008-0000-0A00-00004A030000}"/>
                  </a:ext>
                </a:extLst>
              </xdr:cNvPr>
              <xdr:cNvGrpSpPr/>
            </xdr:nvGrpSpPr>
            <xdr:grpSpPr>
              <a:xfrm>
                <a:off x="14002235" y="13728636"/>
                <a:ext cx="828000" cy="294684"/>
                <a:chOff x="14028212" y="13841203"/>
                <a:chExt cx="828000" cy="294684"/>
              </a:xfrm>
            </xdr:grpSpPr>
            <xdr:sp macro="" textlink="$O$10">
              <xdr:nvSpPr>
                <xdr:cNvPr id="661" name="Rectángulo 660">
                  <a:extLst>
                    <a:ext uri="{FF2B5EF4-FFF2-40B4-BE49-F238E27FC236}">
                      <a16:creationId xmlns:a16="http://schemas.microsoft.com/office/drawing/2014/main" id="{00000000-0008-0000-0A00-00004B030000}"/>
                    </a:ext>
                  </a:extLst>
                </xdr:cNvPr>
                <xdr:cNvSpPr/>
              </xdr:nvSpPr>
              <xdr:spPr>
                <a:xfrm>
                  <a:off x="14084867" y="1386003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50D1064-CC67-4F31-83B7-84C2B481D4E6}"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V$10">
              <xdr:nvSpPr>
                <xdr:cNvPr id="662" name="Rectángulo 661">
                  <a:extLst>
                    <a:ext uri="{FF2B5EF4-FFF2-40B4-BE49-F238E27FC236}">
                      <a16:creationId xmlns:a16="http://schemas.microsoft.com/office/drawing/2014/main" id="{00000000-0008-0000-0A00-00004C030000}"/>
                    </a:ext>
                  </a:extLst>
                </xdr:cNvPr>
                <xdr:cNvSpPr/>
              </xdr:nvSpPr>
              <xdr:spPr>
                <a:xfrm>
                  <a:off x="14362204" y="1386003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C10CA7-6563-435F-8A3F-0DCA002DAF1C}" type="TxLink">
                    <a:rPr lang="en-US" sz="1100" b="1" i="0" u="none" strike="noStrike">
                      <a:solidFill>
                        <a:srgbClr val="FFFF00"/>
                      </a:solidFill>
                      <a:latin typeface="Century Gothic"/>
                    </a:rPr>
                    <a:pPr algn="ctr"/>
                    <a:t>17</a:t>
                  </a:fld>
                  <a:endParaRPr lang="es-CO" sz="1100" b="1">
                    <a:solidFill>
                      <a:srgbClr val="FFFF00"/>
                    </a:solidFill>
                  </a:endParaRPr>
                </a:p>
              </xdr:txBody>
            </xdr:sp>
            <xdr:sp macro="" textlink="">
              <xdr:nvSpPr>
                <xdr:cNvPr id="663" name="CuadroTexto 662">
                  <a:extLst>
                    <a:ext uri="{FF2B5EF4-FFF2-40B4-BE49-F238E27FC236}">
                      <a16:creationId xmlns:a16="http://schemas.microsoft.com/office/drawing/2014/main" id="{00000000-0008-0000-0A00-00004D030000}"/>
                    </a:ext>
                  </a:extLst>
                </xdr:cNvPr>
                <xdr:cNvSpPr txBox="1"/>
              </xdr:nvSpPr>
              <xdr:spPr>
                <a:xfrm>
                  <a:off x="14028212" y="13841203"/>
                  <a:ext cx="828000" cy="271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75" name="Grupo 574">
              <a:extLst>
                <a:ext uri="{FF2B5EF4-FFF2-40B4-BE49-F238E27FC236}">
                  <a16:creationId xmlns:a16="http://schemas.microsoft.com/office/drawing/2014/main" id="{00000000-0008-0000-0A00-0000F5020000}"/>
                </a:ext>
              </a:extLst>
            </xdr:cNvPr>
            <xdr:cNvGrpSpPr/>
          </xdr:nvGrpSpPr>
          <xdr:grpSpPr>
            <a:xfrm>
              <a:off x="26343270" y="12147683"/>
              <a:ext cx="2159946" cy="768033"/>
              <a:chOff x="14744310" y="13266331"/>
              <a:chExt cx="2157048" cy="754021"/>
            </a:xfrm>
          </xdr:grpSpPr>
          <xdr:grpSp>
            <xdr:nvGrpSpPr>
              <xdr:cNvPr id="651" name="Grupo 650">
                <a:extLst>
                  <a:ext uri="{FF2B5EF4-FFF2-40B4-BE49-F238E27FC236}">
                    <a16:creationId xmlns:a16="http://schemas.microsoft.com/office/drawing/2014/main" id="{00000000-0008-0000-0A00-000041030000}"/>
                  </a:ext>
                </a:extLst>
              </xdr:cNvPr>
              <xdr:cNvGrpSpPr/>
            </xdr:nvGrpSpPr>
            <xdr:grpSpPr>
              <a:xfrm>
                <a:off x="14744310" y="13266331"/>
                <a:ext cx="2157048" cy="732326"/>
                <a:chOff x="28670251" y="2081892"/>
                <a:chExt cx="2000250" cy="585107"/>
              </a:xfrm>
            </xdr:grpSpPr>
            <xdr:sp macro="" textlink="">
              <xdr:nvSpPr>
                <xdr:cNvPr id="656" name="Cheurón 655">
                  <a:extLst>
                    <a:ext uri="{FF2B5EF4-FFF2-40B4-BE49-F238E27FC236}">
                      <a16:creationId xmlns:a16="http://schemas.microsoft.com/office/drawing/2014/main" id="{00000000-0008-0000-0A00-000046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57" name="CuadroTexto 656">
                  <a:extLst>
                    <a:ext uri="{FF2B5EF4-FFF2-40B4-BE49-F238E27FC236}">
                      <a16:creationId xmlns:a16="http://schemas.microsoft.com/office/drawing/2014/main" id="{00000000-0008-0000-0A00-000047030000}"/>
                    </a:ext>
                  </a:extLst>
                </xdr:cNvPr>
                <xdr:cNvSpPr txBox="1"/>
              </xdr:nvSpPr>
              <xdr:spPr>
                <a:xfrm>
                  <a:off x="28867685" y="2166613"/>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P$11">
              <xdr:nvSpPr>
                <xdr:cNvPr id="658" name="Rectángulo redondeado 657">
                  <a:extLst>
                    <a:ext uri="{FF2B5EF4-FFF2-40B4-BE49-F238E27FC236}">
                      <a16:creationId xmlns:a16="http://schemas.microsoft.com/office/drawing/2014/main" id="{00000000-0008-0000-0A00-000048030000}"/>
                    </a:ext>
                  </a:extLst>
                </xdr:cNvPr>
                <xdr:cNvSpPr/>
              </xdr:nvSpPr>
              <xdr:spPr>
                <a:xfrm>
                  <a:off x="29779599"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8539B5-D09A-41FA-8AAE-D37A811025E9}" type="TxLink">
                    <a:rPr lang="en-US" sz="1600" b="1" i="0" u="none" strike="noStrike">
                      <a:solidFill>
                        <a:srgbClr val="FFFF00"/>
                      </a:solidFill>
                      <a:latin typeface="Century Gothic"/>
                    </a:rPr>
                    <a:pPr algn="ctr"/>
                    <a:t>66,7%</a:t>
                  </a:fld>
                  <a:endParaRPr lang="es-CO" sz="3600">
                    <a:solidFill>
                      <a:srgbClr val="FFFF00"/>
                    </a:solidFill>
                  </a:endParaRPr>
                </a:p>
              </xdr:txBody>
            </xdr:sp>
          </xdr:grpSp>
          <xdr:grpSp>
            <xdr:nvGrpSpPr>
              <xdr:cNvPr id="652" name="Grupo 651">
                <a:extLst>
                  <a:ext uri="{FF2B5EF4-FFF2-40B4-BE49-F238E27FC236}">
                    <a16:creationId xmlns:a16="http://schemas.microsoft.com/office/drawing/2014/main" id="{00000000-0008-0000-0A00-000042030000}"/>
                  </a:ext>
                </a:extLst>
              </xdr:cNvPr>
              <xdr:cNvGrpSpPr/>
            </xdr:nvGrpSpPr>
            <xdr:grpSpPr>
              <a:xfrm>
                <a:off x="15935931" y="13723937"/>
                <a:ext cx="828000" cy="296415"/>
                <a:chOff x="16013862" y="13836504"/>
                <a:chExt cx="828000" cy="296415"/>
              </a:xfrm>
            </xdr:grpSpPr>
            <xdr:sp macro="" textlink="$O$11">
              <xdr:nvSpPr>
                <xdr:cNvPr id="653" name="Rectángulo 652">
                  <a:extLst>
                    <a:ext uri="{FF2B5EF4-FFF2-40B4-BE49-F238E27FC236}">
                      <a16:creationId xmlns:a16="http://schemas.microsoft.com/office/drawing/2014/main" id="{00000000-0008-0000-0A00-000043030000}"/>
                    </a:ext>
                  </a:extLst>
                </xdr:cNvPr>
                <xdr:cNvSpPr/>
              </xdr:nvSpPr>
              <xdr:spPr>
                <a:xfrm>
                  <a:off x="16070517" y="13857065"/>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AABE93-BF0F-467A-BD02-701FA096E6C8}"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V$11">
              <xdr:nvSpPr>
                <xdr:cNvPr id="654" name="Rectángulo 653">
                  <a:extLst>
                    <a:ext uri="{FF2B5EF4-FFF2-40B4-BE49-F238E27FC236}">
                      <a16:creationId xmlns:a16="http://schemas.microsoft.com/office/drawing/2014/main" id="{00000000-0008-0000-0A00-000044030000}"/>
                    </a:ext>
                  </a:extLst>
                </xdr:cNvPr>
                <xdr:cNvSpPr/>
              </xdr:nvSpPr>
              <xdr:spPr>
                <a:xfrm>
                  <a:off x="16365172" y="13857065"/>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EB5D330-4BC9-4132-9F06-53473B92C515}"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
              <xdr:nvSpPr>
                <xdr:cNvPr id="655" name="CuadroTexto 654">
                  <a:extLst>
                    <a:ext uri="{FF2B5EF4-FFF2-40B4-BE49-F238E27FC236}">
                      <a16:creationId xmlns:a16="http://schemas.microsoft.com/office/drawing/2014/main" id="{00000000-0008-0000-0A00-000045030000}"/>
                    </a:ext>
                  </a:extLst>
                </xdr:cNvPr>
                <xdr:cNvSpPr txBox="1"/>
              </xdr:nvSpPr>
              <xdr:spPr>
                <a:xfrm>
                  <a:off x="16013862" y="13836504"/>
                  <a:ext cx="828000" cy="27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76" name="Grupo 575">
              <a:extLst>
                <a:ext uri="{FF2B5EF4-FFF2-40B4-BE49-F238E27FC236}">
                  <a16:creationId xmlns:a16="http://schemas.microsoft.com/office/drawing/2014/main" id="{00000000-0008-0000-0A00-0000F6020000}"/>
                </a:ext>
              </a:extLst>
            </xdr:cNvPr>
            <xdr:cNvGrpSpPr/>
          </xdr:nvGrpSpPr>
          <xdr:grpSpPr>
            <a:xfrm>
              <a:off x="28305356" y="12150503"/>
              <a:ext cx="2159945" cy="766600"/>
              <a:chOff x="16703763" y="13269100"/>
              <a:chExt cx="2157047" cy="752614"/>
            </a:xfrm>
          </xdr:grpSpPr>
          <xdr:grpSp>
            <xdr:nvGrpSpPr>
              <xdr:cNvPr id="643" name="Grupo 642">
                <a:extLst>
                  <a:ext uri="{FF2B5EF4-FFF2-40B4-BE49-F238E27FC236}">
                    <a16:creationId xmlns:a16="http://schemas.microsoft.com/office/drawing/2014/main" id="{00000000-0008-0000-0A00-000039030000}"/>
                  </a:ext>
                </a:extLst>
              </xdr:cNvPr>
              <xdr:cNvGrpSpPr/>
            </xdr:nvGrpSpPr>
            <xdr:grpSpPr>
              <a:xfrm>
                <a:off x="16703763" y="13269100"/>
                <a:ext cx="2157047" cy="732326"/>
                <a:chOff x="28670251" y="2081892"/>
                <a:chExt cx="2000250" cy="585107"/>
              </a:xfrm>
            </xdr:grpSpPr>
            <xdr:sp macro="" textlink="">
              <xdr:nvSpPr>
                <xdr:cNvPr id="648" name="Cheurón 647">
                  <a:extLst>
                    <a:ext uri="{FF2B5EF4-FFF2-40B4-BE49-F238E27FC236}">
                      <a16:creationId xmlns:a16="http://schemas.microsoft.com/office/drawing/2014/main" id="{00000000-0008-0000-0A00-00003E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49" name="CuadroTexto 648">
                  <a:extLst>
                    <a:ext uri="{FF2B5EF4-FFF2-40B4-BE49-F238E27FC236}">
                      <a16:creationId xmlns:a16="http://schemas.microsoft.com/office/drawing/2014/main" id="{00000000-0008-0000-0A00-00003F030000}"/>
                    </a:ext>
                  </a:extLst>
                </xdr:cNvPr>
                <xdr:cNvSpPr txBox="1"/>
              </xdr:nvSpPr>
              <xdr:spPr>
                <a:xfrm>
                  <a:off x="28872820" y="2159695"/>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P$12">
              <xdr:nvSpPr>
                <xdr:cNvPr id="650" name="Rectángulo redondeado 649">
                  <a:extLst>
                    <a:ext uri="{FF2B5EF4-FFF2-40B4-BE49-F238E27FC236}">
                      <a16:creationId xmlns:a16="http://schemas.microsoft.com/office/drawing/2014/main" id="{00000000-0008-0000-0A00-000040030000}"/>
                    </a:ext>
                  </a:extLst>
                </xdr:cNvPr>
                <xdr:cNvSpPr/>
              </xdr:nvSpPr>
              <xdr:spPr>
                <a:xfrm>
                  <a:off x="29784173"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5CD2E3D-4133-47B0-B021-A2CC5FCBA7ED}" type="TxLink">
                    <a:rPr lang="en-US" sz="1600" b="1" i="0" u="none" strike="noStrike">
                      <a:solidFill>
                        <a:srgbClr val="FFFF00"/>
                      </a:solidFill>
                      <a:latin typeface="Century Gothic"/>
                    </a:rPr>
                    <a:pPr algn="ctr"/>
                    <a:t>38,5%</a:t>
                  </a:fld>
                  <a:endParaRPr lang="es-CO" sz="3600">
                    <a:solidFill>
                      <a:srgbClr val="FFFF00"/>
                    </a:solidFill>
                  </a:endParaRPr>
                </a:p>
              </xdr:txBody>
            </xdr:sp>
          </xdr:grpSp>
          <xdr:grpSp>
            <xdr:nvGrpSpPr>
              <xdr:cNvPr id="644" name="Grupo 643">
                <a:extLst>
                  <a:ext uri="{FF2B5EF4-FFF2-40B4-BE49-F238E27FC236}">
                    <a16:creationId xmlns:a16="http://schemas.microsoft.com/office/drawing/2014/main" id="{00000000-0008-0000-0A00-00003A030000}"/>
                  </a:ext>
                </a:extLst>
              </xdr:cNvPr>
              <xdr:cNvGrpSpPr/>
            </xdr:nvGrpSpPr>
            <xdr:grpSpPr>
              <a:xfrm>
                <a:off x="17898080" y="13725300"/>
                <a:ext cx="828000" cy="296414"/>
                <a:chOff x="17993329" y="13837867"/>
                <a:chExt cx="828000" cy="296414"/>
              </a:xfrm>
            </xdr:grpSpPr>
            <xdr:sp macro="" textlink="$O$12">
              <xdr:nvSpPr>
                <xdr:cNvPr id="645" name="Rectángulo 644">
                  <a:extLst>
                    <a:ext uri="{FF2B5EF4-FFF2-40B4-BE49-F238E27FC236}">
                      <a16:creationId xmlns:a16="http://schemas.microsoft.com/office/drawing/2014/main" id="{00000000-0008-0000-0A00-00003B030000}"/>
                    </a:ext>
                  </a:extLst>
                </xdr:cNvPr>
                <xdr:cNvSpPr/>
              </xdr:nvSpPr>
              <xdr:spPr>
                <a:xfrm>
                  <a:off x="18032666" y="1385842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833BADA-B405-4E3B-A849-85E188264100}" type="TxLink">
                    <a:rPr lang="en-US" sz="1100" b="1" i="0" u="none" strike="noStrike">
                      <a:solidFill>
                        <a:srgbClr val="FFFF00"/>
                      </a:solidFill>
                      <a:latin typeface="Century Gothic"/>
                    </a:rPr>
                    <a:pPr algn="ctr"/>
                    <a:t>5</a:t>
                  </a:fld>
                  <a:endParaRPr lang="es-CO" sz="1100" b="1">
                    <a:solidFill>
                      <a:srgbClr val="FFFF00"/>
                    </a:solidFill>
                  </a:endParaRPr>
                </a:p>
              </xdr:txBody>
            </xdr:sp>
            <xdr:sp macro="" textlink="$V$12">
              <xdr:nvSpPr>
                <xdr:cNvPr id="646" name="Rectángulo 645">
                  <a:extLst>
                    <a:ext uri="{FF2B5EF4-FFF2-40B4-BE49-F238E27FC236}">
                      <a16:creationId xmlns:a16="http://schemas.microsoft.com/office/drawing/2014/main" id="{00000000-0008-0000-0A00-00003C030000}"/>
                    </a:ext>
                  </a:extLst>
                </xdr:cNvPr>
                <xdr:cNvSpPr/>
              </xdr:nvSpPr>
              <xdr:spPr>
                <a:xfrm>
                  <a:off x="18327321" y="1385842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C734285-6524-47EE-A6BE-EB0493C5601E}"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647" name="CuadroTexto 646">
                  <a:extLst>
                    <a:ext uri="{FF2B5EF4-FFF2-40B4-BE49-F238E27FC236}">
                      <a16:creationId xmlns:a16="http://schemas.microsoft.com/office/drawing/2014/main" id="{00000000-0008-0000-0A00-00003D030000}"/>
                    </a:ext>
                  </a:extLst>
                </xdr:cNvPr>
                <xdr:cNvSpPr txBox="1"/>
              </xdr:nvSpPr>
              <xdr:spPr>
                <a:xfrm>
                  <a:off x="17993329" y="13837867"/>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77" name="Grupo 576">
              <a:extLst>
                <a:ext uri="{FF2B5EF4-FFF2-40B4-BE49-F238E27FC236}">
                  <a16:creationId xmlns:a16="http://schemas.microsoft.com/office/drawing/2014/main" id="{00000000-0008-0000-0A00-0000F7020000}"/>
                </a:ext>
              </a:extLst>
            </xdr:cNvPr>
            <xdr:cNvGrpSpPr/>
          </xdr:nvGrpSpPr>
          <xdr:grpSpPr>
            <a:xfrm>
              <a:off x="30253785" y="12139226"/>
              <a:ext cx="2143037" cy="786192"/>
              <a:chOff x="18649578" y="13258030"/>
              <a:chExt cx="2140161" cy="771849"/>
            </a:xfrm>
          </xdr:grpSpPr>
          <xdr:grpSp>
            <xdr:nvGrpSpPr>
              <xdr:cNvPr id="635" name="Grupo 634">
                <a:extLst>
                  <a:ext uri="{FF2B5EF4-FFF2-40B4-BE49-F238E27FC236}">
                    <a16:creationId xmlns:a16="http://schemas.microsoft.com/office/drawing/2014/main" id="{00000000-0008-0000-0A00-000031030000}"/>
                  </a:ext>
                </a:extLst>
              </xdr:cNvPr>
              <xdr:cNvGrpSpPr/>
            </xdr:nvGrpSpPr>
            <xdr:grpSpPr>
              <a:xfrm>
                <a:off x="18649578" y="13258030"/>
                <a:ext cx="2140161" cy="732326"/>
                <a:chOff x="28670251" y="2081892"/>
                <a:chExt cx="2025093" cy="585107"/>
              </a:xfrm>
            </xdr:grpSpPr>
            <xdr:sp macro="" textlink="">
              <xdr:nvSpPr>
                <xdr:cNvPr id="640" name="Cheurón 639">
                  <a:extLst>
                    <a:ext uri="{FF2B5EF4-FFF2-40B4-BE49-F238E27FC236}">
                      <a16:creationId xmlns:a16="http://schemas.microsoft.com/office/drawing/2014/main" id="{00000000-0008-0000-0A00-000036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41" name="CuadroTexto 640">
                  <a:extLst>
                    <a:ext uri="{FF2B5EF4-FFF2-40B4-BE49-F238E27FC236}">
                      <a16:creationId xmlns:a16="http://schemas.microsoft.com/office/drawing/2014/main" id="{00000000-0008-0000-0A00-000037030000}"/>
                    </a:ext>
                  </a:extLst>
                </xdr:cNvPr>
                <xdr:cNvSpPr txBox="1"/>
              </xdr:nvSpPr>
              <xdr:spPr>
                <a:xfrm>
                  <a:off x="28759318" y="2166613"/>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P$13">
              <xdr:nvSpPr>
                <xdr:cNvPr id="642" name="Rectángulo redondeado 641">
                  <a:extLst>
                    <a:ext uri="{FF2B5EF4-FFF2-40B4-BE49-F238E27FC236}">
                      <a16:creationId xmlns:a16="http://schemas.microsoft.com/office/drawing/2014/main" id="{00000000-0008-0000-0A00-000038030000}"/>
                    </a:ext>
                  </a:extLst>
                </xdr:cNvPr>
                <xdr:cNvSpPr/>
              </xdr:nvSpPr>
              <xdr:spPr>
                <a:xfrm>
                  <a:off x="29810881" y="2176914"/>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08E5CBE-81A8-4547-9F47-38F99F12EDEA}"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36" name="Grupo 635">
                <a:extLst>
                  <a:ext uri="{FF2B5EF4-FFF2-40B4-BE49-F238E27FC236}">
                    <a16:creationId xmlns:a16="http://schemas.microsoft.com/office/drawing/2014/main" id="{00000000-0008-0000-0A00-000032030000}"/>
                  </a:ext>
                </a:extLst>
              </xdr:cNvPr>
              <xdr:cNvGrpSpPr/>
            </xdr:nvGrpSpPr>
            <xdr:grpSpPr>
              <a:xfrm>
                <a:off x="19802083" y="13747310"/>
                <a:ext cx="825525" cy="282569"/>
                <a:chOff x="19905991" y="13859877"/>
                <a:chExt cx="825525" cy="282569"/>
              </a:xfrm>
            </xdr:grpSpPr>
            <xdr:sp macro="" textlink="">
              <xdr:nvSpPr>
                <xdr:cNvPr id="637" name="CuadroTexto 636">
                  <a:extLst>
                    <a:ext uri="{FF2B5EF4-FFF2-40B4-BE49-F238E27FC236}">
                      <a16:creationId xmlns:a16="http://schemas.microsoft.com/office/drawing/2014/main" id="{00000000-0008-0000-0A00-000033030000}"/>
                    </a:ext>
                  </a:extLst>
                </xdr:cNvPr>
                <xdr:cNvSpPr txBox="1"/>
              </xdr:nvSpPr>
              <xdr:spPr>
                <a:xfrm>
                  <a:off x="19905991" y="1385987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13">
              <xdr:nvSpPr>
                <xdr:cNvPr id="638" name="Rectángulo 637">
                  <a:extLst>
                    <a:ext uri="{FF2B5EF4-FFF2-40B4-BE49-F238E27FC236}">
                      <a16:creationId xmlns:a16="http://schemas.microsoft.com/office/drawing/2014/main" id="{00000000-0008-0000-0A00-000034030000}"/>
                    </a:ext>
                  </a:extLst>
                </xdr:cNvPr>
                <xdr:cNvSpPr/>
              </xdr:nvSpPr>
              <xdr:spPr>
                <a:xfrm>
                  <a:off x="19958696" y="1386659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02A485B-1E5E-4062-B681-7068C951B479}" type="TxLink">
                    <a:rPr lang="en-US" sz="1100" b="1" i="0" u="none" strike="noStrike">
                      <a:solidFill>
                        <a:srgbClr val="FFFF00"/>
                      </a:solidFill>
                      <a:latin typeface="Century Gothic"/>
                    </a:rPr>
                    <a:pPr algn="ctr"/>
                    <a:t>0</a:t>
                  </a:fld>
                  <a:endParaRPr lang="es-CO" sz="1100" b="1" i="0">
                    <a:solidFill>
                      <a:srgbClr val="FFFF00"/>
                    </a:solidFill>
                  </a:endParaRPr>
                </a:p>
              </xdr:txBody>
            </xdr:sp>
            <xdr:sp macro="" textlink="$V$13">
              <xdr:nvSpPr>
                <xdr:cNvPr id="639" name="Rectángulo 638">
                  <a:extLst>
                    <a:ext uri="{FF2B5EF4-FFF2-40B4-BE49-F238E27FC236}">
                      <a16:creationId xmlns:a16="http://schemas.microsoft.com/office/drawing/2014/main" id="{00000000-0008-0000-0A00-000035030000}"/>
                    </a:ext>
                  </a:extLst>
                </xdr:cNvPr>
                <xdr:cNvSpPr/>
              </xdr:nvSpPr>
              <xdr:spPr>
                <a:xfrm>
                  <a:off x="20253351" y="1386659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44FCCF2-EF16-45CE-9F70-F85C629084BB}" type="TxLink">
                    <a:rPr lang="en-US" sz="1100" b="1" i="0" u="none" strike="noStrike">
                      <a:solidFill>
                        <a:srgbClr val="FFFF00"/>
                      </a:solidFill>
                      <a:latin typeface="Century Gothic"/>
                    </a:rPr>
                    <a:pPr algn="ctr"/>
                    <a:t>5</a:t>
                  </a:fld>
                  <a:endParaRPr lang="es-CO" sz="1100" b="1">
                    <a:solidFill>
                      <a:srgbClr val="FFFF00"/>
                    </a:solidFill>
                  </a:endParaRPr>
                </a:p>
              </xdr:txBody>
            </xdr:sp>
          </xdr:grpSp>
        </xdr:grpSp>
        <xdr:grpSp>
          <xdr:nvGrpSpPr>
            <xdr:cNvPr id="578" name="Grupo 577">
              <a:extLst>
                <a:ext uri="{FF2B5EF4-FFF2-40B4-BE49-F238E27FC236}">
                  <a16:creationId xmlns:a16="http://schemas.microsoft.com/office/drawing/2014/main" id="{00000000-0008-0000-0A00-0000F8020000}"/>
                </a:ext>
              </a:extLst>
            </xdr:cNvPr>
            <xdr:cNvGrpSpPr/>
          </xdr:nvGrpSpPr>
          <xdr:grpSpPr>
            <a:xfrm>
              <a:off x="23578289" y="12144874"/>
              <a:ext cx="720000" cy="1566463"/>
              <a:chOff x="27404782" y="8354785"/>
              <a:chExt cx="720020" cy="1512000"/>
            </a:xfrm>
          </xdr:grpSpPr>
          <xdr:sp macro="" textlink="">
            <xdr:nvSpPr>
              <xdr:cNvPr id="633" name="Rectángulo 632">
                <a:extLst>
                  <a:ext uri="{FF2B5EF4-FFF2-40B4-BE49-F238E27FC236}">
                    <a16:creationId xmlns:a16="http://schemas.microsoft.com/office/drawing/2014/main" id="{00000000-0008-0000-0A00-00002F030000}"/>
                  </a:ext>
                </a:extLst>
              </xdr:cNvPr>
              <xdr:cNvSpPr/>
            </xdr:nvSpPr>
            <xdr:spPr>
              <a:xfrm>
                <a:off x="27404782" y="8354785"/>
                <a:ext cx="72002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34" name="CuadroTexto 633">
                <a:extLst>
                  <a:ext uri="{FF2B5EF4-FFF2-40B4-BE49-F238E27FC236}">
                    <a16:creationId xmlns:a16="http://schemas.microsoft.com/office/drawing/2014/main" id="{00000000-0008-0000-0A00-000030030000}"/>
                  </a:ext>
                </a:extLst>
              </xdr:cNvPr>
              <xdr:cNvSpPr txBox="1"/>
            </xdr:nvSpPr>
            <xdr:spPr>
              <a:xfrm rot="16200000">
                <a:off x="27171952"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579" name="Grupo 578">
              <a:extLst>
                <a:ext uri="{FF2B5EF4-FFF2-40B4-BE49-F238E27FC236}">
                  <a16:creationId xmlns:a16="http://schemas.microsoft.com/office/drawing/2014/main" id="{00000000-0008-0000-0A00-0000F9020000}"/>
                </a:ext>
              </a:extLst>
            </xdr:cNvPr>
            <xdr:cNvGrpSpPr/>
          </xdr:nvGrpSpPr>
          <xdr:grpSpPr>
            <a:xfrm>
              <a:off x="32161504" y="12142045"/>
              <a:ext cx="2159945" cy="786017"/>
              <a:chOff x="20554737" y="13260800"/>
              <a:chExt cx="2157047" cy="771677"/>
            </a:xfrm>
          </xdr:grpSpPr>
          <xdr:grpSp>
            <xdr:nvGrpSpPr>
              <xdr:cNvPr id="625" name="Grupo 624">
                <a:extLst>
                  <a:ext uri="{FF2B5EF4-FFF2-40B4-BE49-F238E27FC236}">
                    <a16:creationId xmlns:a16="http://schemas.microsoft.com/office/drawing/2014/main" id="{00000000-0008-0000-0A00-000027030000}"/>
                  </a:ext>
                </a:extLst>
              </xdr:cNvPr>
              <xdr:cNvGrpSpPr/>
            </xdr:nvGrpSpPr>
            <xdr:grpSpPr>
              <a:xfrm>
                <a:off x="20554737" y="13260800"/>
                <a:ext cx="2157047" cy="732326"/>
                <a:chOff x="28670251" y="2081892"/>
                <a:chExt cx="2000250" cy="585107"/>
              </a:xfrm>
            </xdr:grpSpPr>
            <xdr:sp macro="" textlink="">
              <xdr:nvSpPr>
                <xdr:cNvPr id="630" name="Cheurón 629">
                  <a:extLst>
                    <a:ext uri="{FF2B5EF4-FFF2-40B4-BE49-F238E27FC236}">
                      <a16:creationId xmlns:a16="http://schemas.microsoft.com/office/drawing/2014/main" id="{00000000-0008-0000-0A00-00002C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31" name="CuadroTexto 630">
                  <a:extLst>
                    <a:ext uri="{FF2B5EF4-FFF2-40B4-BE49-F238E27FC236}">
                      <a16:creationId xmlns:a16="http://schemas.microsoft.com/office/drawing/2014/main" id="{00000000-0008-0000-0A00-00002D030000}"/>
                    </a:ext>
                  </a:extLst>
                </xdr:cNvPr>
                <xdr:cNvSpPr txBox="1"/>
              </xdr:nvSpPr>
              <xdr:spPr>
                <a:xfrm>
                  <a:off x="28869718" y="2159695"/>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P$14">
              <xdr:nvSpPr>
                <xdr:cNvPr id="632" name="Rectángulo redondeado 631">
                  <a:extLst>
                    <a:ext uri="{FF2B5EF4-FFF2-40B4-BE49-F238E27FC236}">
                      <a16:creationId xmlns:a16="http://schemas.microsoft.com/office/drawing/2014/main" id="{00000000-0008-0000-0A00-00002E030000}"/>
                    </a:ext>
                  </a:extLst>
                </xdr:cNvPr>
                <xdr:cNvSpPr/>
              </xdr:nvSpPr>
              <xdr:spPr>
                <a:xfrm>
                  <a:off x="29786518" y="216585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A714050-328B-4538-BBC6-A8A7BF61D909}" type="TxLink">
                    <a:rPr lang="en-US" sz="1600" b="1" i="0" u="none" strike="noStrike">
                      <a:solidFill>
                        <a:srgbClr val="FFFF00"/>
                      </a:solidFill>
                      <a:latin typeface="Century Gothic"/>
                    </a:rPr>
                    <a:pPr algn="ctr"/>
                    <a:t>57,9%</a:t>
                  </a:fld>
                  <a:endParaRPr lang="es-CO" sz="3600">
                    <a:solidFill>
                      <a:srgbClr val="FFFF00"/>
                    </a:solidFill>
                  </a:endParaRPr>
                </a:p>
              </xdr:txBody>
            </xdr:sp>
          </xdr:grpSp>
          <xdr:grpSp>
            <xdr:nvGrpSpPr>
              <xdr:cNvPr id="626" name="Grupo 625">
                <a:extLst>
                  <a:ext uri="{FF2B5EF4-FFF2-40B4-BE49-F238E27FC236}">
                    <a16:creationId xmlns:a16="http://schemas.microsoft.com/office/drawing/2014/main" id="{00000000-0008-0000-0A00-000028030000}"/>
                  </a:ext>
                </a:extLst>
              </xdr:cNvPr>
              <xdr:cNvGrpSpPr/>
            </xdr:nvGrpSpPr>
            <xdr:grpSpPr>
              <a:xfrm>
                <a:off x="21720933" y="13741259"/>
                <a:ext cx="825525" cy="291218"/>
                <a:chOff x="21772887" y="13853826"/>
                <a:chExt cx="825525" cy="291218"/>
              </a:xfrm>
            </xdr:grpSpPr>
            <xdr:sp macro="" textlink="">
              <xdr:nvSpPr>
                <xdr:cNvPr id="627" name="CuadroTexto 626">
                  <a:extLst>
                    <a:ext uri="{FF2B5EF4-FFF2-40B4-BE49-F238E27FC236}">
                      <a16:creationId xmlns:a16="http://schemas.microsoft.com/office/drawing/2014/main" id="{00000000-0008-0000-0A00-000029030000}"/>
                    </a:ext>
                  </a:extLst>
                </xdr:cNvPr>
                <xdr:cNvSpPr txBox="1"/>
              </xdr:nvSpPr>
              <xdr:spPr>
                <a:xfrm>
                  <a:off x="21772887" y="13853826"/>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14">
              <xdr:nvSpPr>
                <xdr:cNvPr id="628" name="Rectángulo 627">
                  <a:extLst>
                    <a:ext uri="{FF2B5EF4-FFF2-40B4-BE49-F238E27FC236}">
                      <a16:creationId xmlns:a16="http://schemas.microsoft.com/office/drawing/2014/main" id="{00000000-0008-0000-0A00-00002A030000}"/>
                    </a:ext>
                  </a:extLst>
                </xdr:cNvPr>
                <xdr:cNvSpPr/>
              </xdr:nvSpPr>
              <xdr:spPr>
                <a:xfrm>
                  <a:off x="21834251" y="13869190"/>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E576DE-0EB3-44A6-B83C-4325F419319B}" type="TxLink">
                    <a:rPr lang="en-US" sz="1100" b="1" i="0" u="none" strike="noStrike">
                      <a:solidFill>
                        <a:srgbClr val="FFFF00"/>
                      </a:solidFill>
                      <a:latin typeface="Century Gothic"/>
                    </a:rPr>
                    <a:pPr algn="ctr"/>
                    <a:t>11</a:t>
                  </a:fld>
                  <a:endParaRPr lang="es-CO" sz="1100" b="1">
                    <a:solidFill>
                      <a:srgbClr val="FFFF00"/>
                    </a:solidFill>
                  </a:endParaRPr>
                </a:p>
              </xdr:txBody>
            </xdr:sp>
            <xdr:sp macro="" textlink="$V$14">
              <xdr:nvSpPr>
                <xdr:cNvPr id="629" name="Rectángulo 628">
                  <a:extLst>
                    <a:ext uri="{FF2B5EF4-FFF2-40B4-BE49-F238E27FC236}">
                      <a16:creationId xmlns:a16="http://schemas.microsoft.com/office/drawing/2014/main" id="{00000000-0008-0000-0A00-00002B030000}"/>
                    </a:ext>
                  </a:extLst>
                </xdr:cNvPr>
                <xdr:cNvSpPr/>
              </xdr:nvSpPr>
              <xdr:spPr>
                <a:xfrm>
                  <a:off x="22128906" y="1386919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683EF4-0BAF-4911-B233-70C15CF6CEB6}" type="TxLink">
                    <a:rPr lang="en-US" sz="1100" b="1" i="0" u="none" strike="noStrike">
                      <a:solidFill>
                        <a:srgbClr val="FFFF00"/>
                      </a:solidFill>
                      <a:latin typeface="Century Gothic"/>
                    </a:rPr>
                    <a:pPr algn="ctr"/>
                    <a:t>19</a:t>
                  </a:fld>
                  <a:endParaRPr lang="es-CO" sz="1100" b="1">
                    <a:solidFill>
                      <a:srgbClr val="FFFF00"/>
                    </a:solidFill>
                  </a:endParaRPr>
                </a:p>
              </xdr:txBody>
            </xdr:sp>
          </xdr:grpSp>
        </xdr:grpSp>
        <xdr:grpSp>
          <xdr:nvGrpSpPr>
            <xdr:cNvPr id="580" name="Grupo 579">
              <a:extLst>
                <a:ext uri="{FF2B5EF4-FFF2-40B4-BE49-F238E27FC236}">
                  <a16:creationId xmlns:a16="http://schemas.microsoft.com/office/drawing/2014/main" id="{00000000-0008-0000-0A00-0000FA020000}"/>
                </a:ext>
              </a:extLst>
            </xdr:cNvPr>
            <xdr:cNvGrpSpPr/>
          </xdr:nvGrpSpPr>
          <xdr:grpSpPr>
            <a:xfrm>
              <a:off x="24438287" y="12951276"/>
              <a:ext cx="2159944" cy="745937"/>
              <a:chOff x="12841883" y="14055217"/>
              <a:chExt cx="2157046" cy="732326"/>
            </a:xfrm>
          </xdr:grpSpPr>
          <xdr:grpSp>
            <xdr:nvGrpSpPr>
              <xdr:cNvPr id="617" name="Grupo 616">
                <a:extLst>
                  <a:ext uri="{FF2B5EF4-FFF2-40B4-BE49-F238E27FC236}">
                    <a16:creationId xmlns:a16="http://schemas.microsoft.com/office/drawing/2014/main" id="{00000000-0008-0000-0A00-00001F030000}"/>
                  </a:ext>
                </a:extLst>
              </xdr:cNvPr>
              <xdr:cNvGrpSpPr/>
            </xdr:nvGrpSpPr>
            <xdr:grpSpPr>
              <a:xfrm>
                <a:off x="12841883" y="14055217"/>
                <a:ext cx="2157046" cy="732326"/>
                <a:chOff x="28670251" y="2081892"/>
                <a:chExt cx="2000250" cy="585107"/>
              </a:xfrm>
            </xdr:grpSpPr>
            <xdr:sp macro="" textlink="">
              <xdr:nvSpPr>
                <xdr:cNvPr id="622" name="Cheurón 621">
                  <a:extLst>
                    <a:ext uri="{FF2B5EF4-FFF2-40B4-BE49-F238E27FC236}">
                      <a16:creationId xmlns:a16="http://schemas.microsoft.com/office/drawing/2014/main" id="{00000000-0008-0000-0A00-000024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23" name="CuadroTexto 622">
                  <a:extLst>
                    <a:ext uri="{FF2B5EF4-FFF2-40B4-BE49-F238E27FC236}">
                      <a16:creationId xmlns:a16="http://schemas.microsoft.com/office/drawing/2014/main" id="{00000000-0008-0000-0A00-000025030000}"/>
                    </a:ext>
                  </a:extLst>
                </xdr:cNvPr>
                <xdr:cNvSpPr txBox="1"/>
              </xdr:nvSpPr>
              <xdr:spPr>
                <a:xfrm>
                  <a:off x="28871628" y="2122198"/>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P$15">
              <xdr:nvSpPr>
                <xdr:cNvPr id="624" name="Rectángulo redondeado 623">
                  <a:extLst>
                    <a:ext uri="{FF2B5EF4-FFF2-40B4-BE49-F238E27FC236}">
                      <a16:creationId xmlns:a16="http://schemas.microsoft.com/office/drawing/2014/main" id="{00000000-0008-0000-0A00-000026030000}"/>
                    </a:ext>
                  </a:extLst>
                </xdr:cNvPr>
                <xdr:cNvSpPr/>
              </xdr:nvSpPr>
              <xdr:spPr>
                <a:xfrm>
                  <a:off x="297865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738CDDF-BED5-4912-A878-CE80AA956A33}"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18" name="Grupo 617">
                <a:extLst>
                  <a:ext uri="{FF2B5EF4-FFF2-40B4-BE49-F238E27FC236}">
                    <a16:creationId xmlns:a16="http://schemas.microsoft.com/office/drawing/2014/main" id="{00000000-0008-0000-0A00-000020030000}"/>
                  </a:ext>
                </a:extLst>
              </xdr:cNvPr>
              <xdr:cNvGrpSpPr/>
            </xdr:nvGrpSpPr>
            <xdr:grpSpPr>
              <a:xfrm>
                <a:off x="14016091" y="14496428"/>
                <a:ext cx="828000" cy="287783"/>
                <a:chOff x="14016091" y="14787505"/>
                <a:chExt cx="828000" cy="287783"/>
              </a:xfrm>
            </xdr:grpSpPr>
            <xdr:sp macro="" textlink="$O$15">
              <xdr:nvSpPr>
                <xdr:cNvPr id="619" name="Rectángulo 618">
                  <a:extLst>
                    <a:ext uri="{FF2B5EF4-FFF2-40B4-BE49-F238E27FC236}">
                      <a16:creationId xmlns:a16="http://schemas.microsoft.com/office/drawing/2014/main" id="{00000000-0008-0000-0A00-000021030000}"/>
                    </a:ext>
                  </a:extLst>
                </xdr:cNvPr>
                <xdr:cNvSpPr/>
              </xdr:nvSpPr>
              <xdr:spPr>
                <a:xfrm>
                  <a:off x="14055428" y="1479943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504BC7E-0969-4D73-9017-F9E16D5A696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15">
              <xdr:nvSpPr>
                <xdr:cNvPr id="620" name="Rectángulo 619">
                  <a:extLst>
                    <a:ext uri="{FF2B5EF4-FFF2-40B4-BE49-F238E27FC236}">
                      <a16:creationId xmlns:a16="http://schemas.microsoft.com/office/drawing/2014/main" id="{00000000-0008-0000-0A00-000022030000}"/>
                    </a:ext>
                  </a:extLst>
                </xdr:cNvPr>
                <xdr:cNvSpPr/>
              </xdr:nvSpPr>
              <xdr:spPr>
                <a:xfrm>
                  <a:off x="14350083" y="1479943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F9C6179-CE0F-42DC-83B8-CE17E98E6F12}"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621" name="CuadroTexto 620">
                  <a:extLst>
                    <a:ext uri="{FF2B5EF4-FFF2-40B4-BE49-F238E27FC236}">
                      <a16:creationId xmlns:a16="http://schemas.microsoft.com/office/drawing/2014/main" id="{00000000-0008-0000-0A00-000023030000}"/>
                    </a:ext>
                  </a:extLst>
                </xdr:cNvPr>
                <xdr:cNvSpPr txBox="1"/>
              </xdr:nvSpPr>
              <xdr:spPr>
                <a:xfrm>
                  <a:off x="14016091" y="14787505"/>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1" name="Grupo 580">
              <a:extLst>
                <a:ext uri="{FF2B5EF4-FFF2-40B4-BE49-F238E27FC236}">
                  <a16:creationId xmlns:a16="http://schemas.microsoft.com/office/drawing/2014/main" id="{00000000-0008-0000-0A00-0000FB020000}"/>
                </a:ext>
              </a:extLst>
            </xdr:cNvPr>
            <xdr:cNvGrpSpPr/>
          </xdr:nvGrpSpPr>
          <xdr:grpSpPr>
            <a:xfrm>
              <a:off x="26400418" y="12954091"/>
              <a:ext cx="2182182" cy="745937"/>
              <a:chOff x="14801381" y="14057986"/>
              <a:chExt cx="2179254" cy="732326"/>
            </a:xfrm>
          </xdr:grpSpPr>
          <xdr:grpSp>
            <xdr:nvGrpSpPr>
              <xdr:cNvPr id="609" name="Grupo 608">
                <a:extLst>
                  <a:ext uri="{FF2B5EF4-FFF2-40B4-BE49-F238E27FC236}">
                    <a16:creationId xmlns:a16="http://schemas.microsoft.com/office/drawing/2014/main" id="{00000000-0008-0000-0A00-000017030000}"/>
                  </a:ext>
                </a:extLst>
              </xdr:cNvPr>
              <xdr:cNvGrpSpPr/>
            </xdr:nvGrpSpPr>
            <xdr:grpSpPr>
              <a:xfrm>
                <a:off x="14801381" y="14057986"/>
                <a:ext cx="2179254" cy="732326"/>
                <a:chOff x="28670251" y="2081892"/>
                <a:chExt cx="2020842" cy="585107"/>
              </a:xfrm>
            </xdr:grpSpPr>
            <xdr:sp macro="" textlink="">
              <xdr:nvSpPr>
                <xdr:cNvPr id="614" name="Cheurón 613">
                  <a:extLst>
                    <a:ext uri="{FF2B5EF4-FFF2-40B4-BE49-F238E27FC236}">
                      <a16:creationId xmlns:a16="http://schemas.microsoft.com/office/drawing/2014/main" id="{00000000-0008-0000-0A00-00001C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15" name="CuadroTexto 614">
                  <a:extLst>
                    <a:ext uri="{FF2B5EF4-FFF2-40B4-BE49-F238E27FC236}">
                      <a16:creationId xmlns:a16="http://schemas.microsoft.com/office/drawing/2014/main" id="{00000000-0008-0000-0A00-00001D030000}"/>
                    </a:ext>
                  </a:extLst>
                </xdr:cNvPr>
                <xdr:cNvSpPr txBox="1"/>
              </xdr:nvSpPr>
              <xdr:spPr>
                <a:xfrm>
                  <a:off x="28789521" y="2122198"/>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P$16">
              <xdr:nvSpPr>
                <xdr:cNvPr id="616" name="Rectángulo redondeado 615">
                  <a:extLst>
                    <a:ext uri="{FF2B5EF4-FFF2-40B4-BE49-F238E27FC236}">
                      <a16:creationId xmlns:a16="http://schemas.microsoft.com/office/drawing/2014/main" id="{00000000-0008-0000-0A00-00001E030000}"/>
                    </a:ext>
                  </a:extLst>
                </xdr:cNvPr>
                <xdr:cNvSpPr/>
              </xdr:nvSpPr>
              <xdr:spPr>
                <a:xfrm>
                  <a:off x="29824320"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4D5F1E-0492-4767-8DD0-37305CC67C30}" type="TxLink">
                    <a:rPr lang="en-US" sz="1600" b="1" i="0" u="none" strike="noStrike">
                      <a:solidFill>
                        <a:srgbClr val="FFFF00"/>
                      </a:solidFill>
                      <a:latin typeface="Century Gothic"/>
                    </a:rPr>
                    <a:pPr algn="ctr"/>
                    <a:t>37,5%</a:t>
                  </a:fld>
                  <a:endParaRPr lang="es-CO" sz="3600">
                    <a:solidFill>
                      <a:srgbClr val="FFFF00"/>
                    </a:solidFill>
                  </a:endParaRPr>
                </a:p>
              </xdr:txBody>
            </xdr:sp>
          </xdr:grpSp>
          <xdr:grpSp>
            <xdr:nvGrpSpPr>
              <xdr:cNvPr id="610" name="Grupo 609">
                <a:extLst>
                  <a:ext uri="{FF2B5EF4-FFF2-40B4-BE49-F238E27FC236}">
                    <a16:creationId xmlns:a16="http://schemas.microsoft.com/office/drawing/2014/main" id="{00000000-0008-0000-0A00-000018030000}"/>
                  </a:ext>
                </a:extLst>
              </xdr:cNvPr>
              <xdr:cNvGrpSpPr/>
            </xdr:nvGrpSpPr>
            <xdr:grpSpPr>
              <a:xfrm>
                <a:off x="16010400" y="14496430"/>
                <a:ext cx="828000" cy="287781"/>
                <a:chOff x="16010400" y="14638304"/>
                <a:chExt cx="828000" cy="287781"/>
              </a:xfrm>
            </xdr:grpSpPr>
            <xdr:sp macro="" textlink="$O$16">
              <xdr:nvSpPr>
                <xdr:cNvPr id="611" name="Rectángulo 610">
                  <a:extLst>
                    <a:ext uri="{FF2B5EF4-FFF2-40B4-BE49-F238E27FC236}">
                      <a16:creationId xmlns:a16="http://schemas.microsoft.com/office/drawing/2014/main" id="{00000000-0008-0000-0A00-000019030000}"/>
                    </a:ext>
                  </a:extLst>
                </xdr:cNvPr>
                <xdr:cNvSpPr/>
              </xdr:nvSpPr>
              <xdr:spPr>
                <a:xfrm>
                  <a:off x="16067055" y="1465023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595C89-9D5D-452A-A7C7-68C20A797CBB}"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V$16">
              <xdr:nvSpPr>
                <xdr:cNvPr id="612" name="Rectángulo 611">
                  <a:extLst>
                    <a:ext uri="{FF2B5EF4-FFF2-40B4-BE49-F238E27FC236}">
                      <a16:creationId xmlns:a16="http://schemas.microsoft.com/office/drawing/2014/main" id="{00000000-0008-0000-0A00-00001A030000}"/>
                    </a:ext>
                  </a:extLst>
                </xdr:cNvPr>
                <xdr:cNvSpPr/>
              </xdr:nvSpPr>
              <xdr:spPr>
                <a:xfrm>
                  <a:off x="16353051" y="1465023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A9D97B-0E68-4A52-81E0-2CDAE7BBEE1C}" type="TxLink">
                    <a:rPr lang="en-US" sz="1100" b="1" i="0" u="none" strike="noStrike">
                      <a:solidFill>
                        <a:srgbClr val="FFFF00"/>
                      </a:solidFill>
                      <a:latin typeface="Century Gothic"/>
                    </a:rPr>
                    <a:pPr algn="ctr"/>
                    <a:t>16</a:t>
                  </a:fld>
                  <a:endParaRPr lang="es-CO" sz="1100" b="1">
                    <a:solidFill>
                      <a:srgbClr val="FFFF00"/>
                    </a:solidFill>
                  </a:endParaRPr>
                </a:p>
              </xdr:txBody>
            </xdr:sp>
            <xdr:sp macro="" textlink="">
              <xdr:nvSpPr>
                <xdr:cNvPr id="613" name="CuadroTexto 612">
                  <a:extLst>
                    <a:ext uri="{FF2B5EF4-FFF2-40B4-BE49-F238E27FC236}">
                      <a16:creationId xmlns:a16="http://schemas.microsoft.com/office/drawing/2014/main" id="{00000000-0008-0000-0A00-00001B030000}"/>
                    </a:ext>
                  </a:extLst>
                </xdr:cNvPr>
                <xdr:cNvSpPr txBox="1"/>
              </xdr:nvSpPr>
              <xdr:spPr>
                <a:xfrm>
                  <a:off x="16010400" y="14638304"/>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2" name="Grupo 581">
              <a:extLst>
                <a:ext uri="{FF2B5EF4-FFF2-40B4-BE49-F238E27FC236}">
                  <a16:creationId xmlns:a16="http://schemas.microsoft.com/office/drawing/2014/main" id="{00000000-0008-0000-0A00-0000FC020000}"/>
                </a:ext>
              </a:extLst>
            </xdr:cNvPr>
            <xdr:cNvGrpSpPr/>
          </xdr:nvGrpSpPr>
          <xdr:grpSpPr>
            <a:xfrm>
              <a:off x="28348857" y="12942813"/>
              <a:ext cx="2195786" cy="750998"/>
              <a:chOff x="16747206" y="14046916"/>
              <a:chExt cx="2192840" cy="737295"/>
            </a:xfrm>
          </xdr:grpSpPr>
          <xdr:grpSp>
            <xdr:nvGrpSpPr>
              <xdr:cNvPr id="601" name="Grupo 600">
                <a:extLst>
                  <a:ext uri="{FF2B5EF4-FFF2-40B4-BE49-F238E27FC236}">
                    <a16:creationId xmlns:a16="http://schemas.microsoft.com/office/drawing/2014/main" id="{00000000-0008-0000-0A00-00000F030000}"/>
                  </a:ext>
                </a:extLst>
              </xdr:cNvPr>
              <xdr:cNvGrpSpPr/>
            </xdr:nvGrpSpPr>
            <xdr:grpSpPr>
              <a:xfrm>
                <a:off x="16747206" y="14046916"/>
                <a:ext cx="2192840" cy="732326"/>
                <a:chOff x="28670251" y="2081892"/>
                <a:chExt cx="2033443" cy="585107"/>
              </a:xfrm>
            </xdr:grpSpPr>
            <xdr:sp macro="" textlink="">
              <xdr:nvSpPr>
                <xdr:cNvPr id="606" name="Cheurón 605">
                  <a:extLst>
                    <a:ext uri="{FF2B5EF4-FFF2-40B4-BE49-F238E27FC236}">
                      <a16:creationId xmlns:a16="http://schemas.microsoft.com/office/drawing/2014/main" id="{00000000-0008-0000-0A00-000014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07" name="CuadroTexto 606">
                  <a:extLst>
                    <a:ext uri="{FF2B5EF4-FFF2-40B4-BE49-F238E27FC236}">
                      <a16:creationId xmlns:a16="http://schemas.microsoft.com/office/drawing/2014/main" id="{00000000-0008-0000-0A00-000015030000}"/>
                    </a:ext>
                  </a:extLst>
                </xdr:cNvPr>
                <xdr:cNvSpPr txBox="1"/>
              </xdr:nvSpPr>
              <xdr:spPr>
                <a:xfrm>
                  <a:off x="28782494" y="2119420"/>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P$17">
              <xdr:nvSpPr>
                <xdr:cNvPr id="608" name="Rectángulo redondeado 607">
                  <a:extLst>
                    <a:ext uri="{FF2B5EF4-FFF2-40B4-BE49-F238E27FC236}">
                      <a16:creationId xmlns:a16="http://schemas.microsoft.com/office/drawing/2014/main" id="{00000000-0008-0000-0A00-000016030000}"/>
                    </a:ext>
                  </a:extLst>
                </xdr:cNvPr>
                <xdr:cNvSpPr/>
              </xdr:nvSpPr>
              <xdr:spPr>
                <a:xfrm>
                  <a:off x="2983691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7E4ADDB-5C90-4A9A-91CE-63D3093A1EE0}"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02" name="Grupo 601">
                <a:extLst>
                  <a:ext uri="{FF2B5EF4-FFF2-40B4-BE49-F238E27FC236}">
                    <a16:creationId xmlns:a16="http://schemas.microsoft.com/office/drawing/2014/main" id="{00000000-0008-0000-0A00-000010030000}"/>
                  </a:ext>
                </a:extLst>
              </xdr:cNvPr>
              <xdr:cNvGrpSpPr/>
            </xdr:nvGrpSpPr>
            <xdr:grpSpPr>
              <a:xfrm>
                <a:off x="17963890" y="14496430"/>
                <a:ext cx="828000" cy="287781"/>
                <a:chOff x="17963890" y="14639666"/>
                <a:chExt cx="828000" cy="287781"/>
              </a:xfrm>
            </xdr:grpSpPr>
            <xdr:sp macro="" textlink="$O$17">
              <xdr:nvSpPr>
                <xdr:cNvPr id="603" name="Rectángulo 602">
                  <a:extLst>
                    <a:ext uri="{FF2B5EF4-FFF2-40B4-BE49-F238E27FC236}">
                      <a16:creationId xmlns:a16="http://schemas.microsoft.com/office/drawing/2014/main" id="{00000000-0008-0000-0A00-000011030000}"/>
                    </a:ext>
                  </a:extLst>
                </xdr:cNvPr>
                <xdr:cNvSpPr/>
              </xdr:nvSpPr>
              <xdr:spPr>
                <a:xfrm>
                  <a:off x="18029204" y="1465159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598BA12-F9DC-45BB-BF35-C7713EBC714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17">
              <xdr:nvSpPr>
                <xdr:cNvPr id="604" name="Rectángulo 603">
                  <a:extLst>
                    <a:ext uri="{FF2B5EF4-FFF2-40B4-BE49-F238E27FC236}">
                      <a16:creationId xmlns:a16="http://schemas.microsoft.com/office/drawing/2014/main" id="{00000000-0008-0000-0A00-000012030000}"/>
                    </a:ext>
                  </a:extLst>
                </xdr:cNvPr>
                <xdr:cNvSpPr/>
              </xdr:nvSpPr>
              <xdr:spPr>
                <a:xfrm>
                  <a:off x="18315200" y="1465159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1793873-D9AB-4904-AE56-73302B09A877}" type="TxLink">
                    <a:rPr lang="en-US" sz="1100" b="1" i="0" u="none" strike="noStrike">
                      <a:solidFill>
                        <a:srgbClr val="FFFF00"/>
                      </a:solidFill>
                      <a:latin typeface="Century Gothic"/>
                    </a:rPr>
                    <a:pPr algn="ctr"/>
                    <a:t>20</a:t>
                  </a:fld>
                  <a:endParaRPr lang="es-CO" sz="1100" b="1">
                    <a:solidFill>
                      <a:srgbClr val="FFFF00"/>
                    </a:solidFill>
                  </a:endParaRPr>
                </a:p>
              </xdr:txBody>
            </xdr:sp>
            <xdr:sp macro="" textlink="">
              <xdr:nvSpPr>
                <xdr:cNvPr id="605" name="CuadroTexto 604">
                  <a:extLst>
                    <a:ext uri="{FF2B5EF4-FFF2-40B4-BE49-F238E27FC236}">
                      <a16:creationId xmlns:a16="http://schemas.microsoft.com/office/drawing/2014/main" id="{00000000-0008-0000-0A00-000013030000}"/>
                    </a:ext>
                  </a:extLst>
                </xdr:cNvPr>
                <xdr:cNvSpPr txBox="1"/>
              </xdr:nvSpPr>
              <xdr:spPr>
                <a:xfrm>
                  <a:off x="17963890" y="14639666"/>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3" name="Grupo 582">
              <a:extLst>
                <a:ext uri="{FF2B5EF4-FFF2-40B4-BE49-F238E27FC236}">
                  <a16:creationId xmlns:a16="http://schemas.microsoft.com/office/drawing/2014/main" id="{00000000-0008-0000-0A00-0000FD020000}"/>
                </a:ext>
              </a:extLst>
            </xdr:cNvPr>
            <xdr:cNvGrpSpPr/>
          </xdr:nvGrpSpPr>
          <xdr:grpSpPr>
            <a:xfrm>
              <a:off x="30297334" y="12945629"/>
              <a:ext cx="2129427" cy="748176"/>
              <a:chOff x="18693068" y="14049686"/>
              <a:chExt cx="2126570" cy="734525"/>
            </a:xfrm>
          </xdr:grpSpPr>
          <xdr:grpSp>
            <xdr:nvGrpSpPr>
              <xdr:cNvPr id="593" name="Grupo 592">
                <a:extLst>
                  <a:ext uri="{FF2B5EF4-FFF2-40B4-BE49-F238E27FC236}">
                    <a16:creationId xmlns:a16="http://schemas.microsoft.com/office/drawing/2014/main" id="{00000000-0008-0000-0A00-000007030000}"/>
                  </a:ext>
                </a:extLst>
              </xdr:cNvPr>
              <xdr:cNvGrpSpPr/>
            </xdr:nvGrpSpPr>
            <xdr:grpSpPr>
              <a:xfrm>
                <a:off x="18693068" y="14049686"/>
                <a:ext cx="2126570" cy="732326"/>
                <a:chOff x="28670251" y="2081892"/>
                <a:chExt cx="2012232" cy="585107"/>
              </a:xfrm>
            </xdr:grpSpPr>
            <xdr:sp macro="" textlink="">
              <xdr:nvSpPr>
                <xdr:cNvPr id="598" name="Cheurón 597">
                  <a:extLst>
                    <a:ext uri="{FF2B5EF4-FFF2-40B4-BE49-F238E27FC236}">
                      <a16:creationId xmlns:a16="http://schemas.microsoft.com/office/drawing/2014/main" id="{00000000-0008-0000-0A00-00000C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99" name="CuadroTexto 598">
                  <a:extLst>
                    <a:ext uri="{FF2B5EF4-FFF2-40B4-BE49-F238E27FC236}">
                      <a16:creationId xmlns:a16="http://schemas.microsoft.com/office/drawing/2014/main" id="{00000000-0008-0000-0A00-00000D030000}"/>
                    </a:ext>
                  </a:extLst>
                </xdr:cNvPr>
                <xdr:cNvSpPr txBox="1"/>
              </xdr:nvSpPr>
              <xdr:spPr>
                <a:xfrm>
                  <a:off x="28911076" y="2122198"/>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P$18">
              <xdr:nvSpPr>
                <xdr:cNvPr id="600" name="Rectángulo redondeado 599">
                  <a:extLst>
                    <a:ext uri="{FF2B5EF4-FFF2-40B4-BE49-F238E27FC236}">
                      <a16:creationId xmlns:a16="http://schemas.microsoft.com/office/drawing/2014/main" id="{00000000-0008-0000-0A00-00000E030000}"/>
                    </a:ext>
                  </a:extLst>
                </xdr:cNvPr>
                <xdr:cNvSpPr/>
              </xdr:nvSpPr>
              <xdr:spPr>
                <a:xfrm>
                  <a:off x="29798021"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F8C1CF-B76A-44BC-8344-DDAFD108D86A}" type="TxLink">
                    <a:rPr lang="en-US" sz="1600" b="1" i="0" u="none" strike="noStrike">
                      <a:solidFill>
                        <a:srgbClr val="FFFF00"/>
                      </a:solidFill>
                      <a:latin typeface="Century Gothic"/>
                    </a:rPr>
                    <a:pPr algn="ctr"/>
                    <a:t>80,0%</a:t>
                  </a:fld>
                  <a:endParaRPr lang="es-CO" sz="3600">
                    <a:solidFill>
                      <a:srgbClr val="FFFF00"/>
                    </a:solidFill>
                  </a:endParaRPr>
                </a:p>
              </xdr:txBody>
            </xdr:sp>
          </xdr:grpSp>
          <xdr:grpSp>
            <xdr:nvGrpSpPr>
              <xdr:cNvPr id="594" name="Grupo 593">
                <a:extLst>
                  <a:ext uri="{FF2B5EF4-FFF2-40B4-BE49-F238E27FC236}">
                    <a16:creationId xmlns:a16="http://schemas.microsoft.com/office/drawing/2014/main" id="{00000000-0008-0000-0A00-000008030000}"/>
                  </a:ext>
                </a:extLst>
              </xdr:cNvPr>
              <xdr:cNvGrpSpPr/>
            </xdr:nvGrpSpPr>
            <xdr:grpSpPr>
              <a:xfrm>
                <a:off x="19859234" y="14508357"/>
                <a:ext cx="825525" cy="275854"/>
                <a:chOff x="19893870" y="14659758"/>
                <a:chExt cx="825525" cy="275854"/>
              </a:xfrm>
            </xdr:grpSpPr>
            <xdr:sp macro="" textlink="">
              <xdr:nvSpPr>
                <xdr:cNvPr id="595" name="CuadroTexto 594">
                  <a:extLst>
                    <a:ext uri="{FF2B5EF4-FFF2-40B4-BE49-F238E27FC236}">
                      <a16:creationId xmlns:a16="http://schemas.microsoft.com/office/drawing/2014/main" id="{00000000-0008-0000-0A00-000009030000}"/>
                    </a:ext>
                  </a:extLst>
                </xdr:cNvPr>
                <xdr:cNvSpPr txBox="1"/>
              </xdr:nvSpPr>
              <xdr:spPr>
                <a:xfrm>
                  <a:off x="19893870" y="14661684"/>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18">
              <xdr:nvSpPr>
                <xdr:cNvPr id="596" name="Rectángulo 595">
                  <a:extLst>
                    <a:ext uri="{FF2B5EF4-FFF2-40B4-BE49-F238E27FC236}">
                      <a16:creationId xmlns:a16="http://schemas.microsoft.com/office/drawing/2014/main" id="{00000000-0008-0000-0A00-00000A030000}"/>
                    </a:ext>
                  </a:extLst>
                </xdr:cNvPr>
                <xdr:cNvSpPr/>
              </xdr:nvSpPr>
              <xdr:spPr>
                <a:xfrm>
                  <a:off x="19955234" y="14659758"/>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0A920E8-A348-4C0D-8A28-05C7BDEFEEA3}"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V$18">
              <xdr:nvSpPr>
                <xdr:cNvPr id="597" name="Rectángulo 596">
                  <a:extLst>
                    <a:ext uri="{FF2B5EF4-FFF2-40B4-BE49-F238E27FC236}">
                      <a16:creationId xmlns:a16="http://schemas.microsoft.com/office/drawing/2014/main" id="{00000000-0008-0000-0A00-00000B030000}"/>
                    </a:ext>
                  </a:extLst>
                </xdr:cNvPr>
                <xdr:cNvSpPr/>
              </xdr:nvSpPr>
              <xdr:spPr>
                <a:xfrm>
                  <a:off x="20241230" y="14659758"/>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FFDA40C-DF6F-404C-AB4A-28986C74CEC0}" type="TxLink">
                    <a:rPr lang="en-US" sz="1100" b="1" i="0" u="none" strike="noStrike">
                      <a:solidFill>
                        <a:srgbClr val="FFFF00"/>
                      </a:solidFill>
                      <a:latin typeface="Century Gothic"/>
                    </a:rPr>
                    <a:pPr algn="ctr"/>
                    <a:t>5</a:t>
                  </a:fld>
                  <a:endParaRPr lang="es-CO" sz="1100" b="1">
                    <a:solidFill>
                      <a:srgbClr val="FFFF00"/>
                    </a:solidFill>
                  </a:endParaRPr>
                </a:p>
              </xdr:txBody>
            </xdr:sp>
          </xdr:grpSp>
        </xdr:grpSp>
        <xdr:grpSp>
          <xdr:nvGrpSpPr>
            <xdr:cNvPr id="584" name="Grupo 583">
              <a:extLst>
                <a:ext uri="{FF2B5EF4-FFF2-40B4-BE49-F238E27FC236}">
                  <a16:creationId xmlns:a16="http://schemas.microsoft.com/office/drawing/2014/main" id="{00000000-0008-0000-0A00-0000FE020000}"/>
                </a:ext>
              </a:extLst>
            </xdr:cNvPr>
            <xdr:cNvGrpSpPr/>
          </xdr:nvGrpSpPr>
          <xdr:grpSpPr>
            <a:xfrm>
              <a:off x="32205006" y="12948468"/>
              <a:ext cx="2116747" cy="745937"/>
              <a:chOff x="20598180" y="14052454"/>
              <a:chExt cx="2113907" cy="732326"/>
            </a:xfrm>
          </xdr:grpSpPr>
          <xdr:grpSp>
            <xdr:nvGrpSpPr>
              <xdr:cNvPr id="585" name="Grupo 584">
                <a:extLst>
                  <a:ext uri="{FF2B5EF4-FFF2-40B4-BE49-F238E27FC236}">
                    <a16:creationId xmlns:a16="http://schemas.microsoft.com/office/drawing/2014/main" id="{00000000-0008-0000-0A00-0000FF020000}"/>
                  </a:ext>
                </a:extLst>
              </xdr:cNvPr>
              <xdr:cNvGrpSpPr/>
            </xdr:nvGrpSpPr>
            <xdr:grpSpPr>
              <a:xfrm>
                <a:off x="20598180" y="14052454"/>
                <a:ext cx="2113907" cy="732326"/>
                <a:chOff x="28670251" y="2081892"/>
                <a:chExt cx="2000250" cy="585107"/>
              </a:xfrm>
            </xdr:grpSpPr>
            <xdr:sp macro="" textlink="">
              <xdr:nvSpPr>
                <xdr:cNvPr id="590" name="Cheurón 589">
                  <a:extLst>
                    <a:ext uri="{FF2B5EF4-FFF2-40B4-BE49-F238E27FC236}">
                      <a16:creationId xmlns:a16="http://schemas.microsoft.com/office/drawing/2014/main" id="{00000000-0008-0000-0A00-000004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91" name="CuadroTexto 590">
                  <a:extLst>
                    <a:ext uri="{FF2B5EF4-FFF2-40B4-BE49-F238E27FC236}">
                      <a16:creationId xmlns:a16="http://schemas.microsoft.com/office/drawing/2014/main" id="{00000000-0008-0000-0A00-000005030000}"/>
                    </a:ext>
                  </a:extLst>
                </xdr:cNvPr>
                <xdr:cNvSpPr txBox="1"/>
              </xdr:nvSpPr>
              <xdr:spPr>
                <a:xfrm>
                  <a:off x="28842462"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P$19">
              <xdr:nvSpPr>
                <xdr:cNvPr id="592" name="Rectángulo redondeado 591">
                  <a:extLst>
                    <a:ext uri="{FF2B5EF4-FFF2-40B4-BE49-F238E27FC236}">
                      <a16:creationId xmlns:a16="http://schemas.microsoft.com/office/drawing/2014/main" id="{00000000-0008-0000-0A00-000006030000}"/>
                    </a:ext>
                  </a:extLst>
                </xdr:cNvPr>
                <xdr:cNvSpPr/>
              </xdr:nvSpPr>
              <xdr:spPr>
                <a:xfrm>
                  <a:off x="29808023" y="2157577"/>
                  <a:ext cx="85044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E0A60E-24BB-49CE-8278-1820C51237EF}" type="TxLink">
                    <a:rPr lang="en-US" sz="1600" b="1" i="0" u="none" strike="noStrike">
                      <a:solidFill>
                        <a:srgbClr val="FFFF00"/>
                      </a:solidFill>
                      <a:latin typeface="Century Gothic"/>
                    </a:rPr>
                    <a:pPr algn="ctr"/>
                    <a:t>25,0%</a:t>
                  </a:fld>
                  <a:endParaRPr lang="es-CO" sz="3600">
                    <a:solidFill>
                      <a:srgbClr val="FFFF00"/>
                    </a:solidFill>
                  </a:endParaRPr>
                </a:p>
              </xdr:txBody>
            </xdr:sp>
          </xdr:grpSp>
          <xdr:grpSp>
            <xdr:nvGrpSpPr>
              <xdr:cNvPr id="586" name="Grupo 585">
                <a:extLst>
                  <a:ext uri="{FF2B5EF4-FFF2-40B4-BE49-F238E27FC236}">
                    <a16:creationId xmlns:a16="http://schemas.microsoft.com/office/drawing/2014/main" id="{00000000-0008-0000-0A00-000000030000}"/>
                  </a:ext>
                </a:extLst>
              </xdr:cNvPr>
              <xdr:cNvGrpSpPr/>
            </xdr:nvGrpSpPr>
            <xdr:grpSpPr>
              <a:xfrm>
                <a:off x="21778084" y="14508357"/>
                <a:ext cx="825525" cy="275854"/>
                <a:chOff x="21778084" y="14662356"/>
                <a:chExt cx="825525" cy="275854"/>
              </a:xfrm>
            </xdr:grpSpPr>
            <xdr:sp macro="" textlink="">
              <xdr:nvSpPr>
                <xdr:cNvPr id="587" name="CuadroTexto 586">
                  <a:extLst>
                    <a:ext uri="{FF2B5EF4-FFF2-40B4-BE49-F238E27FC236}">
                      <a16:creationId xmlns:a16="http://schemas.microsoft.com/office/drawing/2014/main" id="{00000000-0008-0000-0A00-000001030000}"/>
                    </a:ext>
                  </a:extLst>
                </xdr:cNvPr>
                <xdr:cNvSpPr txBox="1"/>
              </xdr:nvSpPr>
              <xdr:spPr>
                <a:xfrm>
                  <a:off x="21778084" y="1466428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19">
              <xdr:nvSpPr>
                <xdr:cNvPr id="588" name="Rectángulo 587">
                  <a:extLst>
                    <a:ext uri="{FF2B5EF4-FFF2-40B4-BE49-F238E27FC236}">
                      <a16:creationId xmlns:a16="http://schemas.microsoft.com/office/drawing/2014/main" id="{00000000-0008-0000-0A00-000002030000}"/>
                    </a:ext>
                  </a:extLst>
                </xdr:cNvPr>
                <xdr:cNvSpPr/>
              </xdr:nvSpPr>
              <xdr:spPr>
                <a:xfrm>
                  <a:off x="21830789" y="1466235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CC9B548-593E-47E6-8C7F-632167C576CB}"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V$19">
              <xdr:nvSpPr>
                <xdr:cNvPr id="589" name="Rectángulo 588">
                  <a:extLst>
                    <a:ext uri="{FF2B5EF4-FFF2-40B4-BE49-F238E27FC236}">
                      <a16:creationId xmlns:a16="http://schemas.microsoft.com/office/drawing/2014/main" id="{00000000-0008-0000-0A00-000003030000}"/>
                    </a:ext>
                  </a:extLst>
                </xdr:cNvPr>
                <xdr:cNvSpPr/>
              </xdr:nvSpPr>
              <xdr:spPr>
                <a:xfrm>
                  <a:off x="22116785" y="1466235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A220E2FF-5893-4B00-90EC-233D6FBBB678}" type="TxLink">
                    <a:rPr lang="en-US" sz="1100" b="1" i="0" u="none" strike="noStrike">
                      <a:solidFill>
                        <a:srgbClr val="FFFF00"/>
                      </a:solidFill>
                      <a:latin typeface="Century Gothic"/>
                    </a:rPr>
                    <a:pPr algn="ctr"/>
                    <a:t>12</a:t>
                  </a:fld>
                  <a:endParaRPr lang="es-CO" sz="1100" b="1">
                    <a:solidFill>
                      <a:srgbClr val="FFFF00"/>
                    </a:solidFill>
                  </a:endParaRPr>
                </a:p>
              </xdr:txBody>
            </xdr:sp>
          </xdr:grpSp>
        </xdr:grpSp>
      </xdr:grpSp>
      <xdr:grpSp>
        <xdr:nvGrpSpPr>
          <xdr:cNvPr id="483" name="Grupo 482">
            <a:extLst>
              <a:ext uri="{FF2B5EF4-FFF2-40B4-BE49-F238E27FC236}">
                <a16:creationId xmlns:a16="http://schemas.microsoft.com/office/drawing/2014/main" id="{00000000-0008-0000-0A00-00009C030000}"/>
              </a:ext>
            </a:extLst>
          </xdr:cNvPr>
          <xdr:cNvGrpSpPr/>
        </xdr:nvGrpSpPr>
        <xdr:grpSpPr>
          <a:xfrm>
            <a:off x="11630673" y="15602535"/>
            <a:ext cx="6933765" cy="1610669"/>
            <a:chOff x="23593997" y="15707314"/>
            <a:chExt cx="6930330" cy="1670513"/>
          </a:xfrm>
        </xdr:grpSpPr>
        <xdr:grpSp>
          <xdr:nvGrpSpPr>
            <xdr:cNvPr id="561" name="Grupo 560">
              <a:extLst>
                <a:ext uri="{FF2B5EF4-FFF2-40B4-BE49-F238E27FC236}">
                  <a16:creationId xmlns:a16="http://schemas.microsoft.com/office/drawing/2014/main" id="{00000000-0008-0000-0A00-0000AA020000}"/>
                </a:ext>
              </a:extLst>
            </xdr:cNvPr>
            <xdr:cNvGrpSpPr/>
          </xdr:nvGrpSpPr>
          <xdr:grpSpPr>
            <a:xfrm>
              <a:off x="23593997" y="15707314"/>
              <a:ext cx="720000" cy="1670513"/>
              <a:chOff x="27309535" y="8406495"/>
              <a:chExt cx="719540" cy="1610348"/>
            </a:xfrm>
          </xdr:grpSpPr>
          <xdr:sp macro="" textlink="">
            <xdr:nvSpPr>
              <xdr:cNvPr id="572" name="Rectángulo 571">
                <a:extLst>
                  <a:ext uri="{FF2B5EF4-FFF2-40B4-BE49-F238E27FC236}">
                    <a16:creationId xmlns:a16="http://schemas.microsoft.com/office/drawing/2014/main" id="{00000000-0008-0000-0A00-0000B5020000}"/>
                  </a:ext>
                </a:extLst>
              </xdr:cNvPr>
              <xdr:cNvSpPr/>
            </xdr:nvSpPr>
            <xdr:spPr>
              <a:xfrm>
                <a:off x="27309535" y="8504462"/>
                <a:ext cx="719540"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73" name="CuadroTexto 572">
                <a:extLst>
                  <a:ext uri="{FF2B5EF4-FFF2-40B4-BE49-F238E27FC236}">
                    <a16:creationId xmlns:a16="http://schemas.microsoft.com/office/drawing/2014/main" id="{00000000-0008-0000-0A00-0000B6020000}"/>
                  </a:ext>
                </a:extLst>
              </xdr:cNvPr>
              <xdr:cNvSpPr txBox="1"/>
            </xdr:nvSpPr>
            <xdr:spPr>
              <a:xfrm rot="16200000">
                <a:off x="26864212"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562" name="Flecha abajo 561">
              <a:extLst>
                <a:ext uri="{FF2B5EF4-FFF2-40B4-BE49-F238E27FC236}">
                  <a16:creationId xmlns:a16="http://schemas.microsoft.com/office/drawing/2014/main" id="{00000000-0008-0000-0A00-0000AB020000}"/>
                </a:ext>
              </a:extLst>
            </xdr:cNvPr>
            <xdr:cNvSpPr/>
          </xdr:nvSpPr>
          <xdr:spPr>
            <a:xfrm rot="10800000">
              <a:off x="28975706" y="15829191"/>
              <a:ext cx="468299" cy="298760"/>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63" name="Grupo 562">
              <a:extLst>
                <a:ext uri="{FF2B5EF4-FFF2-40B4-BE49-F238E27FC236}">
                  <a16:creationId xmlns:a16="http://schemas.microsoft.com/office/drawing/2014/main" id="{00000000-0008-0000-0A00-0000AC020000}"/>
                </a:ext>
              </a:extLst>
            </xdr:cNvPr>
            <xdr:cNvGrpSpPr/>
          </xdr:nvGrpSpPr>
          <xdr:grpSpPr>
            <a:xfrm>
              <a:off x="28362945" y="16254641"/>
              <a:ext cx="2161382" cy="750055"/>
              <a:chOff x="16761275" y="17298378"/>
              <a:chExt cx="2158482" cy="736372"/>
            </a:xfrm>
          </xdr:grpSpPr>
          <xdr:grpSp>
            <xdr:nvGrpSpPr>
              <xdr:cNvPr id="564" name="Grupo 563">
                <a:extLst>
                  <a:ext uri="{FF2B5EF4-FFF2-40B4-BE49-F238E27FC236}">
                    <a16:creationId xmlns:a16="http://schemas.microsoft.com/office/drawing/2014/main" id="{00000000-0008-0000-0A00-0000AD020000}"/>
                  </a:ext>
                </a:extLst>
              </xdr:cNvPr>
              <xdr:cNvGrpSpPr/>
            </xdr:nvGrpSpPr>
            <xdr:grpSpPr>
              <a:xfrm>
                <a:off x="16761275" y="17298378"/>
                <a:ext cx="2158482" cy="736372"/>
                <a:chOff x="28351843" y="12455641"/>
                <a:chExt cx="2160000" cy="723042"/>
              </a:xfrm>
            </xdr:grpSpPr>
            <xdr:sp macro="" textlink="">
              <xdr:nvSpPr>
                <xdr:cNvPr id="569" name="Cheurón 568">
                  <a:extLst>
                    <a:ext uri="{FF2B5EF4-FFF2-40B4-BE49-F238E27FC236}">
                      <a16:creationId xmlns:a16="http://schemas.microsoft.com/office/drawing/2014/main" id="{00000000-0008-0000-0A00-0000B202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70" name="CuadroTexto 569">
                  <a:extLst>
                    <a:ext uri="{FF2B5EF4-FFF2-40B4-BE49-F238E27FC236}">
                      <a16:creationId xmlns:a16="http://schemas.microsoft.com/office/drawing/2014/main" id="{00000000-0008-0000-0A00-0000B3020000}"/>
                    </a:ext>
                  </a:extLst>
                </xdr:cNvPr>
                <xdr:cNvSpPr txBox="1"/>
              </xdr:nvSpPr>
              <xdr:spPr>
                <a:xfrm>
                  <a:off x="28448411" y="12455641"/>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P$28">
              <xdr:nvSpPr>
                <xdr:cNvPr id="571" name="Rectángulo redondeado 570">
                  <a:extLst>
                    <a:ext uri="{FF2B5EF4-FFF2-40B4-BE49-F238E27FC236}">
                      <a16:creationId xmlns:a16="http://schemas.microsoft.com/office/drawing/2014/main" id="{00000000-0008-0000-0A00-0000B4020000}"/>
                    </a:ext>
                  </a:extLst>
                </xdr:cNvPr>
                <xdr:cNvSpPr/>
              </xdr:nvSpPr>
              <xdr:spPr>
                <a:xfrm>
                  <a:off x="29530050" y="12556922"/>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14B0E5C-9AF2-4542-AEC1-CB24417AEDA2}" type="TxLink">
                    <a:rPr lang="en-US" sz="1100" b="1" i="0" u="none" strike="noStrike">
                      <a:solidFill>
                        <a:srgbClr val="000000"/>
                      </a:solidFill>
                      <a:latin typeface="Century Gothic"/>
                    </a:rPr>
                    <a:pPr algn="ctr"/>
                    <a:t>-</a:t>
                  </a:fld>
                  <a:endParaRPr lang="es-CO" sz="5400">
                    <a:solidFill>
                      <a:schemeClr val="tx1">
                        <a:lumMod val="95000"/>
                        <a:lumOff val="5000"/>
                      </a:schemeClr>
                    </a:solidFill>
                  </a:endParaRPr>
                </a:p>
              </xdr:txBody>
            </xdr:sp>
          </xdr:grpSp>
          <xdr:grpSp>
            <xdr:nvGrpSpPr>
              <xdr:cNvPr id="565" name="Grupo 564">
                <a:extLst>
                  <a:ext uri="{FF2B5EF4-FFF2-40B4-BE49-F238E27FC236}">
                    <a16:creationId xmlns:a16="http://schemas.microsoft.com/office/drawing/2014/main" id="{00000000-0008-0000-0A00-0000AE020000}"/>
                  </a:ext>
                </a:extLst>
              </xdr:cNvPr>
              <xdr:cNvGrpSpPr/>
            </xdr:nvGrpSpPr>
            <xdr:grpSpPr>
              <a:xfrm>
                <a:off x="17936902" y="17738142"/>
                <a:ext cx="825525" cy="278713"/>
                <a:chOff x="17936902" y="17919981"/>
                <a:chExt cx="825525" cy="278713"/>
              </a:xfrm>
            </xdr:grpSpPr>
            <xdr:sp macro="" textlink="">
              <xdr:nvSpPr>
                <xdr:cNvPr id="566" name="CuadroTexto 565">
                  <a:extLst>
                    <a:ext uri="{FF2B5EF4-FFF2-40B4-BE49-F238E27FC236}">
                      <a16:creationId xmlns:a16="http://schemas.microsoft.com/office/drawing/2014/main" id="{00000000-0008-0000-0A00-0000AF020000}"/>
                    </a:ext>
                  </a:extLst>
                </xdr:cNvPr>
                <xdr:cNvSpPr txBox="1"/>
              </xdr:nvSpPr>
              <xdr:spPr>
                <a:xfrm>
                  <a:off x="17936902" y="1792671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chemeClr val="tx1">
                          <a:lumMod val="95000"/>
                          <a:lumOff val="5000"/>
                        </a:schemeClr>
                      </a:solidFill>
                      <a:latin typeface="Century Gothic" panose="020B0502020202020204" pitchFamily="34" charset="0"/>
                    </a:rPr>
                    <a:t>(</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  </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a:t>
                  </a:r>
                </a:p>
              </xdr:txBody>
            </xdr:sp>
            <xdr:sp macro="" textlink="$O$28">
              <xdr:nvSpPr>
                <xdr:cNvPr id="567" name="Rectángulo 566">
                  <a:extLst>
                    <a:ext uri="{FF2B5EF4-FFF2-40B4-BE49-F238E27FC236}">
                      <a16:creationId xmlns:a16="http://schemas.microsoft.com/office/drawing/2014/main" id="{00000000-0008-0000-0A00-0000B0020000}"/>
                    </a:ext>
                  </a:extLst>
                </xdr:cNvPr>
                <xdr:cNvSpPr/>
              </xdr:nvSpPr>
              <xdr:spPr>
                <a:xfrm>
                  <a:off x="17989607" y="1791998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C5B8C5E-24BA-4436-8D1F-A2FC47E58997}" type="TxLink">
                    <a:rPr lang="en-US" sz="1100" b="0" i="0" u="none" strike="noStrike">
                      <a:solidFill>
                        <a:srgbClr val="000000"/>
                      </a:solidFill>
                      <a:latin typeface="Century Gothic"/>
                    </a:rPr>
                    <a:pPr algn="ctr"/>
                    <a:t>-</a:t>
                  </a:fld>
                  <a:endParaRPr lang="es-CO" sz="1100" b="1">
                    <a:solidFill>
                      <a:schemeClr val="tx1">
                        <a:lumMod val="95000"/>
                        <a:lumOff val="5000"/>
                      </a:schemeClr>
                    </a:solidFill>
                  </a:endParaRPr>
                </a:p>
              </xdr:txBody>
            </xdr:sp>
            <xdr:sp macro="" textlink="$V$28">
              <xdr:nvSpPr>
                <xdr:cNvPr id="568" name="Rectángulo 567">
                  <a:extLst>
                    <a:ext uri="{FF2B5EF4-FFF2-40B4-BE49-F238E27FC236}">
                      <a16:creationId xmlns:a16="http://schemas.microsoft.com/office/drawing/2014/main" id="{00000000-0008-0000-0A00-0000B1020000}"/>
                    </a:ext>
                  </a:extLst>
                </xdr:cNvPr>
                <xdr:cNvSpPr/>
              </xdr:nvSpPr>
              <xdr:spPr>
                <a:xfrm>
                  <a:off x="18275603" y="1791998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0C98DF-0903-48D0-917D-1BDA83D8571B}" type="TxLink">
                    <a:rPr lang="en-US" sz="1100" b="1" i="0" u="none" strike="noStrike">
                      <a:solidFill>
                        <a:srgbClr val="000000"/>
                      </a:solidFill>
                      <a:latin typeface="Century Gothic"/>
                    </a:rPr>
                    <a:pPr algn="ctr"/>
                    <a:t>-</a:t>
                  </a:fld>
                  <a:endParaRPr lang="es-CO" sz="1100" b="1">
                    <a:solidFill>
                      <a:schemeClr val="tx1">
                        <a:lumMod val="95000"/>
                        <a:lumOff val="5000"/>
                      </a:schemeClr>
                    </a:solidFill>
                  </a:endParaRPr>
                </a:p>
              </xdr:txBody>
            </xdr:sp>
          </xdr:grpSp>
        </xdr:grpSp>
      </xdr:grpSp>
      <xdr:grpSp>
        <xdr:nvGrpSpPr>
          <xdr:cNvPr id="484" name="Grupo 483">
            <a:extLst>
              <a:ext uri="{FF2B5EF4-FFF2-40B4-BE49-F238E27FC236}">
                <a16:creationId xmlns:a16="http://schemas.microsoft.com/office/drawing/2014/main" id="{00000000-0008-0000-0A00-00008C040000}"/>
              </a:ext>
            </a:extLst>
          </xdr:cNvPr>
          <xdr:cNvGrpSpPr/>
        </xdr:nvGrpSpPr>
        <xdr:grpSpPr>
          <a:xfrm>
            <a:off x="11631000" y="13726521"/>
            <a:ext cx="10822329" cy="1894485"/>
            <a:chOff x="11631000" y="13726521"/>
            <a:chExt cx="10822329" cy="1894485"/>
          </a:xfrm>
        </xdr:grpSpPr>
        <xdr:grpSp>
          <xdr:nvGrpSpPr>
            <xdr:cNvPr id="485" name="Grupo 484">
              <a:extLst>
                <a:ext uri="{FF2B5EF4-FFF2-40B4-BE49-F238E27FC236}">
                  <a16:creationId xmlns:a16="http://schemas.microsoft.com/office/drawing/2014/main" id="{00000000-0008-0000-0A00-00008B040000}"/>
                </a:ext>
              </a:extLst>
            </xdr:cNvPr>
            <xdr:cNvGrpSpPr/>
          </xdr:nvGrpSpPr>
          <xdr:grpSpPr>
            <a:xfrm>
              <a:off x="20292295" y="14063295"/>
              <a:ext cx="2161034" cy="726200"/>
              <a:chOff x="20292295" y="14063295"/>
              <a:chExt cx="2161034" cy="726200"/>
            </a:xfrm>
          </xdr:grpSpPr>
          <xdr:grpSp>
            <xdr:nvGrpSpPr>
              <xdr:cNvPr id="553" name="Grupo 552">
                <a:extLst>
                  <a:ext uri="{FF2B5EF4-FFF2-40B4-BE49-F238E27FC236}">
                    <a16:creationId xmlns:a16="http://schemas.microsoft.com/office/drawing/2014/main" id="{00000000-0008-0000-0A00-0000C1020000}"/>
                  </a:ext>
                </a:extLst>
              </xdr:cNvPr>
              <xdr:cNvGrpSpPr/>
            </xdr:nvGrpSpPr>
            <xdr:grpSpPr>
              <a:xfrm>
                <a:off x="20292295" y="14063295"/>
                <a:ext cx="2161034" cy="726200"/>
                <a:chOff x="28351843" y="12458683"/>
                <a:chExt cx="2160000" cy="726638"/>
              </a:xfrm>
            </xdr:grpSpPr>
            <xdr:sp macro="" textlink="">
              <xdr:nvSpPr>
                <xdr:cNvPr id="558" name="Cheurón 557">
                  <a:extLst>
                    <a:ext uri="{FF2B5EF4-FFF2-40B4-BE49-F238E27FC236}">
                      <a16:creationId xmlns:a16="http://schemas.microsoft.com/office/drawing/2014/main" id="{00000000-0008-0000-0A00-0000C6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59" name="CuadroTexto 558">
                  <a:extLst>
                    <a:ext uri="{FF2B5EF4-FFF2-40B4-BE49-F238E27FC236}">
                      <a16:creationId xmlns:a16="http://schemas.microsoft.com/office/drawing/2014/main" id="{00000000-0008-0000-0A00-0000C7020000}"/>
                    </a:ext>
                  </a:extLst>
                </xdr:cNvPr>
                <xdr:cNvSpPr txBox="1"/>
              </xdr:nvSpPr>
              <xdr:spPr>
                <a:xfrm>
                  <a:off x="2847066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P$24">
              <xdr:nvSpPr>
                <xdr:cNvPr id="560" name="Rectángulo redondeado 559">
                  <a:extLst>
                    <a:ext uri="{FF2B5EF4-FFF2-40B4-BE49-F238E27FC236}">
                      <a16:creationId xmlns:a16="http://schemas.microsoft.com/office/drawing/2014/main" id="{00000000-0008-0000-0A00-0000C8020000}"/>
                    </a:ext>
                  </a:extLst>
                </xdr:cNvPr>
                <xdr:cNvSpPr/>
              </xdr:nvSpPr>
              <xdr:spPr>
                <a:xfrm>
                  <a:off x="29570871"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04E983-D614-4556-80CE-1FFC69A45038}" type="TxLink">
                    <a:rPr lang="en-US" sz="1600" b="1" i="0" u="none" strike="noStrike">
                      <a:solidFill>
                        <a:srgbClr val="FFFF00"/>
                      </a:solidFill>
                      <a:latin typeface="Century Gothic"/>
                    </a:rPr>
                    <a:pPr algn="ctr"/>
                    <a:t>-</a:t>
                  </a:fld>
                  <a:endParaRPr lang="es-CO" sz="8800">
                    <a:solidFill>
                      <a:srgbClr val="FFFF00"/>
                    </a:solidFill>
                  </a:endParaRPr>
                </a:p>
              </xdr:txBody>
            </xdr:sp>
          </xdr:grpSp>
          <xdr:grpSp>
            <xdr:nvGrpSpPr>
              <xdr:cNvPr id="554" name="Grupo 553">
                <a:extLst>
                  <a:ext uri="{FF2B5EF4-FFF2-40B4-BE49-F238E27FC236}">
                    <a16:creationId xmlns:a16="http://schemas.microsoft.com/office/drawing/2014/main" id="{00000000-0008-0000-0A00-0000C2020000}"/>
                  </a:ext>
                </a:extLst>
              </xdr:cNvPr>
              <xdr:cNvGrpSpPr/>
            </xdr:nvGrpSpPr>
            <xdr:grpSpPr>
              <a:xfrm>
                <a:off x="21484084" y="14510288"/>
                <a:ext cx="826634" cy="273422"/>
                <a:chOff x="21838689" y="15788044"/>
                <a:chExt cx="825525" cy="275854"/>
              </a:xfrm>
            </xdr:grpSpPr>
            <xdr:sp macro="" textlink="">
              <xdr:nvSpPr>
                <xdr:cNvPr id="555" name="CuadroTexto 554">
                  <a:extLst>
                    <a:ext uri="{FF2B5EF4-FFF2-40B4-BE49-F238E27FC236}">
                      <a16:creationId xmlns:a16="http://schemas.microsoft.com/office/drawing/2014/main" id="{00000000-0008-0000-0A00-0000C3020000}"/>
                    </a:ext>
                  </a:extLst>
                </xdr:cNvPr>
                <xdr:cNvSpPr txBox="1"/>
              </xdr:nvSpPr>
              <xdr:spPr>
                <a:xfrm>
                  <a:off x="21838689" y="15789983"/>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4">
              <xdr:nvSpPr>
                <xdr:cNvPr id="556" name="Rectángulo 555">
                  <a:extLst>
                    <a:ext uri="{FF2B5EF4-FFF2-40B4-BE49-F238E27FC236}">
                      <a16:creationId xmlns:a16="http://schemas.microsoft.com/office/drawing/2014/main" id="{00000000-0008-0000-0A00-0000C402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7DB69B3-D1A9-45D8-91AE-3C304F754922}"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24">
              <xdr:nvSpPr>
                <xdr:cNvPr id="557" name="Rectángulo 556">
                  <a:extLst>
                    <a:ext uri="{FF2B5EF4-FFF2-40B4-BE49-F238E27FC236}">
                      <a16:creationId xmlns:a16="http://schemas.microsoft.com/office/drawing/2014/main" id="{00000000-0008-0000-0A00-0000C502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EA4D55E-EC0A-451C-9CA2-CFBA929724FE}" type="TxLink">
                    <a:rPr lang="en-US" sz="1100" b="1" i="0" u="none" strike="noStrike">
                      <a:solidFill>
                        <a:srgbClr val="FFFF00"/>
                      </a:solidFill>
                      <a:latin typeface="Century Gothic"/>
                    </a:rPr>
                    <a:pPr algn="ctr"/>
                    <a:t>0</a:t>
                  </a:fld>
                  <a:endParaRPr lang="es-CO" sz="1100" b="1">
                    <a:solidFill>
                      <a:srgbClr val="FFFF00"/>
                    </a:solidFill>
                  </a:endParaRPr>
                </a:p>
              </xdr:txBody>
            </xdr:sp>
          </xdr:grpSp>
        </xdr:grpSp>
        <xdr:grpSp>
          <xdr:nvGrpSpPr>
            <xdr:cNvPr id="486" name="Grupo 485">
              <a:extLst>
                <a:ext uri="{FF2B5EF4-FFF2-40B4-BE49-F238E27FC236}">
                  <a16:creationId xmlns:a16="http://schemas.microsoft.com/office/drawing/2014/main" id="{00000000-0008-0000-0A00-0000B7020000}"/>
                </a:ext>
              </a:extLst>
            </xdr:cNvPr>
            <xdr:cNvGrpSpPr/>
          </xdr:nvGrpSpPr>
          <xdr:grpSpPr>
            <a:xfrm>
              <a:off x="11631000" y="14011630"/>
              <a:ext cx="720357" cy="1609376"/>
              <a:chOff x="27309535" y="8406495"/>
              <a:chExt cx="720013" cy="1610348"/>
            </a:xfrm>
          </xdr:grpSpPr>
          <xdr:sp macro="" textlink="">
            <xdr:nvSpPr>
              <xdr:cNvPr id="551" name="Rectángulo 550">
                <a:extLst>
                  <a:ext uri="{FF2B5EF4-FFF2-40B4-BE49-F238E27FC236}">
                    <a16:creationId xmlns:a16="http://schemas.microsoft.com/office/drawing/2014/main" id="{00000000-0008-0000-0A00-0000F2020000}"/>
                  </a:ext>
                </a:extLst>
              </xdr:cNvPr>
              <xdr:cNvSpPr/>
            </xdr:nvSpPr>
            <xdr:spPr>
              <a:xfrm>
                <a:off x="27309535" y="8450034"/>
                <a:ext cx="720013"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52" name="CuadroTexto 551">
                <a:extLst>
                  <a:ext uri="{FF2B5EF4-FFF2-40B4-BE49-F238E27FC236}">
                    <a16:creationId xmlns:a16="http://schemas.microsoft.com/office/drawing/2014/main" id="{00000000-0008-0000-0A00-0000F3020000}"/>
                  </a:ext>
                </a:extLst>
              </xdr:cNvPr>
              <xdr:cNvSpPr txBox="1"/>
            </xdr:nvSpPr>
            <xdr:spPr>
              <a:xfrm rot="16200000">
                <a:off x="26864178"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487" name="Flecha abajo 486">
              <a:extLst>
                <a:ext uri="{FF2B5EF4-FFF2-40B4-BE49-F238E27FC236}">
                  <a16:creationId xmlns:a16="http://schemas.microsoft.com/office/drawing/2014/main" id="{00000000-0008-0000-0A00-0000BB020000}"/>
                </a:ext>
              </a:extLst>
            </xdr:cNvPr>
            <xdr:cNvSpPr/>
          </xdr:nvSpPr>
          <xdr:spPr>
            <a:xfrm rot="10800000">
              <a:off x="17011453" y="13726521"/>
              <a:ext cx="468224" cy="287826"/>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88" name="Grupo 487">
              <a:extLst>
                <a:ext uri="{FF2B5EF4-FFF2-40B4-BE49-F238E27FC236}">
                  <a16:creationId xmlns:a16="http://schemas.microsoft.com/office/drawing/2014/main" id="{00000000-0008-0000-0A00-0000BC020000}"/>
                </a:ext>
              </a:extLst>
            </xdr:cNvPr>
            <xdr:cNvGrpSpPr/>
          </xdr:nvGrpSpPr>
          <xdr:grpSpPr>
            <a:xfrm>
              <a:off x="12453559" y="14063294"/>
              <a:ext cx="2161034" cy="730012"/>
              <a:chOff x="12820100" y="15204109"/>
              <a:chExt cx="2157065" cy="743322"/>
            </a:xfrm>
          </xdr:grpSpPr>
          <xdr:grpSp>
            <xdr:nvGrpSpPr>
              <xdr:cNvPr id="543" name="Grupo 542">
                <a:extLst>
                  <a:ext uri="{FF2B5EF4-FFF2-40B4-BE49-F238E27FC236}">
                    <a16:creationId xmlns:a16="http://schemas.microsoft.com/office/drawing/2014/main" id="{00000000-0008-0000-0A00-0000E1020000}"/>
                  </a:ext>
                </a:extLst>
              </xdr:cNvPr>
              <xdr:cNvGrpSpPr/>
            </xdr:nvGrpSpPr>
            <xdr:grpSpPr>
              <a:xfrm>
                <a:off x="12820100" y="15204109"/>
                <a:ext cx="2157065" cy="739441"/>
                <a:chOff x="28351843" y="12458683"/>
                <a:chExt cx="2160000" cy="726638"/>
              </a:xfrm>
            </xdr:grpSpPr>
            <xdr:sp macro="" textlink="">
              <xdr:nvSpPr>
                <xdr:cNvPr id="548" name="Cheurón 547">
                  <a:extLst>
                    <a:ext uri="{FF2B5EF4-FFF2-40B4-BE49-F238E27FC236}">
                      <a16:creationId xmlns:a16="http://schemas.microsoft.com/office/drawing/2014/main" id="{00000000-0008-0000-0A00-0000E6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49" name="CuadroTexto 548">
                  <a:extLst>
                    <a:ext uri="{FF2B5EF4-FFF2-40B4-BE49-F238E27FC236}">
                      <a16:creationId xmlns:a16="http://schemas.microsoft.com/office/drawing/2014/main" id="{00000000-0008-0000-0A00-0000E702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P$20">
              <xdr:nvSpPr>
                <xdr:cNvPr id="550" name="Rectángulo redondeado 549">
                  <a:extLst>
                    <a:ext uri="{FF2B5EF4-FFF2-40B4-BE49-F238E27FC236}">
                      <a16:creationId xmlns:a16="http://schemas.microsoft.com/office/drawing/2014/main" id="{00000000-0008-0000-0A00-0000E8020000}"/>
                    </a:ext>
                  </a:extLst>
                </xdr:cNvPr>
                <xdr:cNvSpPr/>
              </xdr:nvSpPr>
              <xdr:spPr>
                <a:xfrm>
                  <a:off x="29557264" y="1257052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4DE78FA-A512-4BAE-AE21-262DDBD95E11}" type="TxLink">
                    <a:rPr lang="en-US" sz="1600" b="1" i="0" u="none" strike="noStrike">
                      <a:solidFill>
                        <a:srgbClr val="FFFF00"/>
                      </a:solidFill>
                      <a:latin typeface="Century Gothic"/>
                    </a:rPr>
                    <a:pPr algn="ctr"/>
                    <a:t>22,2%</a:t>
                  </a:fld>
                  <a:endParaRPr lang="es-CO" sz="4000">
                    <a:solidFill>
                      <a:srgbClr val="FFFF00"/>
                    </a:solidFill>
                  </a:endParaRPr>
                </a:p>
              </xdr:txBody>
            </xdr:sp>
          </xdr:grpSp>
          <xdr:grpSp>
            <xdr:nvGrpSpPr>
              <xdr:cNvPr id="544" name="Grupo 543">
                <a:extLst>
                  <a:ext uri="{FF2B5EF4-FFF2-40B4-BE49-F238E27FC236}">
                    <a16:creationId xmlns:a16="http://schemas.microsoft.com/office/drawing/2014/main" id="{00000000-0008-0000-0A00-0000E2020000}"/>
                  </a:ext>
                </a:extLst>
              </xdr:cNvPr>
              <xdr:cNvGrpSpPr/>
            </xdr:nvGrpSpPr>
            <xdr:grpSpPr>
              <a:xfrm>
                <a:off x="14033393" y="15663117"/>
                <a:ext cx="825525" cy="284314"/>
                <a:chOff x="14059370" y="15823739"/>
                <a:chExt cx="825525" cy="284314"/>
              </a:xfrm>
            </xdr:grpSpPr>
            <xdr:sp macro="" textlink="">
              <xdr:nvSpPr>
                <xdr:cNvPr id="545" name="CuadroTexto 544">
                  <a:extLst>
                    <a:ext uri="{FF2B5EF4-FFF2-40B4-BE49-F238E27FC236}">
                      <a16:creationId xmlns:a16="http://schemas.microsoft.com/office/drawing/2014/main" id="{00000000-0008-0000-0A00-0000E3020000}"/>
                    </a:ext>
                  </a:extLst>
                </xdr:cNvPr>
                <xdr:cNvSpPr txBox="1"/>
              </xdr:nvSpPr>
              <xdr:spPr>
                <a:xfrm>
                  <a:off x="14059370" y="1582373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b="0" i="0">
                      <a:solidFill>
                        <a:srgbClr val="FFFF00"/>
                      </a:solidFill>
                      <a:latin typeface="Century Gothic" panose="020B0502020202020204" pitchFamily="34" charset="0"/>
                    </a:rPr>
                    <a:t>(</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  </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a:t>
                  </a:r>
                </a:p>
              </xdr:txBody>
            </xdr:sp>
            <xdr:sp macro="" textlink="$O$20">
              <xdr:nvSpPr>
                <xdr:cNvPr id="546" name="Rectángulo 545">
                  <a:extLst>
                    <a:ext uri="{FF2B5EF4-FFF2-40B4-BE49-F238E27FC236}">
                      <a16:creationId xmlns:a16="http://schemas.microsoft.com/office/drawing/2014/main" id="{00000000-0008-0000-0A00-0000E4020000}"/>
                    </a:ext>
                  </a:extLst>
                </xdr:cNvPr>
                <xdr:cNvSpPr/>
              </xdr:nvSpPr>
              <xdr:spPr>
                <a:xfrm>
                  <a:off x="14112075" y="1583219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3096044A-B804-4C28-8983-F177C4A6559C}"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V$20">
              <xdr:nvSpPr>
                <xdr:cNvPr id="547" name="Rectángulo 546">
                  <a:extLst>
                    <a:ext uri="{FF2B5EF4-FFF2-40B4-BE49-F238E27FC236}">
                      <a16:creationId xmlns:a16="http://schemas.microsoft.com/office/drawing/2014/main" id="{00000000-0008-0000-0A00-0000E5020000}"/>
                    </a:ext>
                  </a:extLst>
                </xdr:cNvPr>
                <xdr:cNvSpPr/>
              </xdr:nvSpPr>
              <xdr:spPr>
                <a:xfrm>
                  <a:off x="14398071" y="1583219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B05B9EF0-5187-4D48-B76A-E8C3F69B39B9}" type="TxLink">
                    <a:rPr lang="en-US" sz="1100" b="1" i="0" u="none" strike="noStrike">
                      <a:solidFill>
                        <a:srgbClr val="FFFF00"/>
                      </a:solidFill>
                      <a:latin typeface="Century Gothic"/>
                    </a:rPr>
                    <a:pPr algn="ctr"/>
                    <a:t>18</a:t>
                  </a:fld>
                  <a:endParaRPr lang="es-CO" sz="1100" b="1">
                    <a:solidFill>
                      <a:srgbClr val="FFFF00"/>
                    </a:solidFill>
                  </a:endParaRPr>
                </a:p>
              </xdr:txBody>
            </xdr:sp>
          </xdr:grpSp>
        </xdr:grpSp>
        <xdr:grpSp>
          <xdr:nvGrpSpPr>
            <xdr:cNvPr id="489" name="Grupo 488">
              <a:extLst>
                <a:ext uri="{FF2B5EF4-FFF2-40B4-BE49-F238E27FC236}">
                  <a16:creationId xmlns:a16="http://schemas.microsoft.com/office/drawing/2014/main" id="{00000000-0008-0000-0A00-0000BD020000}"/>
                </a:ext>
              </a:extLst>
            </xdr:cNvPr>
            <xdr:cNvGrpSpPr/>
          </xdr:nvGrpSpPr>
          <xdr:grpSpPr>
            <a:xfrm>
              <a:off x="14403034" y="14063294"/>
              <a:ext cx="2169673" cy="730012"/>
              <a:chOff x="14765995" y="15204109"/>
              <a:chExt cx="2165688" cy="743322"/>
            </a:xfrm>
          </xdr:grpSpPr>
          <xdr:grpSp>
            <xdr:nvGrpSpPr>
              <xdr:cNvPr id="535" name="Grupo 534">
                <a:extLst>
                  <a:ext uri="{FF2B5EF4-FFF2-40B4-BE49-F238E27FC236}">
                    <a16:creationId xmlns:a16="http://schemas.microsoft.com/office/drawing/2014/main" id="{00000000-0008-0000-0A00-0000D9020000}"/>
                  </a:ext>
                </a:extLst>
              </xdr:cNvPr>
              <xdr:cNvGrpSpPr/>
            </xdr:nvGrpSpPr>
            <xdr:grpSpPr>
              <a:xfrm>
                <a:off x="14765995" y="15204109"/>
                <a:ext cx="2165688" cy="739441"/>
                <a:chOff x="28351843" y="12458683"/>
                <a:chExt cx="2168635" cy="726638"/>
              </a:xfrm>
            </xdr:grpSpPr>
            <xdr:sp macro="" textlink="">
              <xdr:nvSpPr>
                <xdr:cNvPr id="540" name="Cheurón 539">
                  <a:extLst>
                    <a:ext uri="{FF2B5EF4-FFF2-40B4-BE49-F238E27FC236}">
                      <a16:creationId xmlns:a16="http://schemas.microsoft.com/office/drawing/2014/main" id="{00000000-0008-0000-0A00-0000DE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41" name="CuadroTexto 540">
                  <a:extLst>
                    <a:ext uri="{FF2B5EF4-FFF2-40B4-BE49-F238E27FC236}">
                      <a16:creationId xmlns:a16="http://schemas.microsoft.com/office/drawing/2014/main" id="{00000000-0008-0000-0A00-0000DF02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P$21">
              <xdr:nvSpPr>
                <xdr:cNvPr id="542" name="Rectángulo redondeado 541">
                  <a:extLst>
                    <a:ext uri="{FF2B5EF4-FFF2-40B4-BE49-F238E27FC236}">
                      <a16:creationId xmlns:a16="http://schemas.microsoft.com/office/drawing/2014/main" id="{00000000-0008-0000-0A00-0000E0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E966221-3B11-4863-B8C4-9B9AC1257276}" type="TxLink">
                    <a:rPr lang="en-US" sz="1600" b="1" i="0" u="none" strike="noStrike">
                      <a:solidFill>
                        <a:srgbClr val="FFFF00"/>
                      </a:solidFill>
                      <a:latin typeface="Century Gothic"/>
                    </a:rPr>
                    <a:pPr algn="ctr"/>
                    <a:t>7,7%</a:t>
                  </a:fld>
                  <a:endParaRPr lang="es-CO" sz="4800">
                    <a:solidFill>
                      <a:srgbClr val="FFFF00"/>
                    </a:solidFill>
                  </a:endParaRPr>
                </a:p>
              </xdr:txBody>
            </xdr:sp>
          </xdr:grpSp>
          <xdr:grpSp>
            <xdr:nvGrpSpPr>
              <xdr:cNvPr id="536" name="Grupo 535">
                <a:extLst>
                  <a:ext uri="{FF2B5EF4-FFF2-40B4-BE49-F238E27FC236}">
                    <a16:creationId xmlns:a16="http://schemas.microsoft.com/office/drawing/2014/main" id="{00000000-0008-0000-0A00-0000DA020000}"/>
                  </a:ext>
                </a:extLst>
              </xdr:cNvPr>
              <xdr:cNvGrpSpPr/>
            </xdr:nvGrpSpPr>
            <xdr:grpSpPr>
              <a:xfrm>
                <a:off x="15974404" y="15663123"/>
                <a:ext cx="825525" cy="284308"/>
                <a:chOff x="15991722" y="15768329"/>
                <a:chExt cx="825525" cy="284308"/>
              </a:xfrm>
            </xdr:grpSpPr>
            <xdr:sp macro="" textlink="">
              <xdr:nvSpPr>
                <xdr:cNvPr id="537" name="CuadroTexto 536">
                  <a:extLst>
                    <a:ext uri="{FF2B5EF4-FFF2-40B4-BE49-F238E27FC236}">
                      <a16:creationId xmlns:a16="http://schemas.microsoft.com/office/drawing/2014/main" id="{00000000-0008-0000-0A00-0000DB020000}"/>
                    </a:ext>
                  </a:extLst>
                </xdr:cNvPr>
                <xdr:cNvSpPr txBox="1"/>
              </xdr:nvSpPr>
              <xdr:spPr>
                <a:xfrm>
                  <a:off x="15991722" y="1576832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1">
              <xdr:nvSpPr>
                <xdr:cNvPr id="538" name="Rectángulo 537">
                  <a:extLst>
                    <a:ext uri="{FF2B5EF4-FFF2-40B4-BE49-F238E27FC236}">
                      <a16:creationId xmlns:a16="http://schemas.microsoft.com/office/drawing/2014/main" id="{00000000-0008-0000-0A00-0000DC020000}"/>
                    </a:ext>
                  </a:extLst>
                </xdr:cNvPr>
                <xdr:cNvSpPr/>
              </xdr:nvSpPr>
              <xdr:spPr>
                <a:xfrm>
                  <a:off x="16039588" y="1577678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B93EBFC-A428-4C3D-803C-317481E55B3D}"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V$21">
              <xdr:nvSpPr>
                <xdr:cNvPr id="539" name="Rectángulo 538">
                  <a:extLst>
                    <a:ext uri="{FF2B5EF4-FFF2-40B4-BE49-F238E27FC236}">
                      <a16:creationId xmlns:a16="http://schemas.microsoft.com/office/drawing/2014/main" id="{00000000-0008-0000-0A00-0000DD020000}"/>
                    </a:ext>
                  </a:extLst>
                </xdr:cNvPr>
                <xdr:cNvSpPr/>
              </xdr:nvSpPr>
              <xdr:spPr>
                <a:xfrm>
                  <a:off x="16325584" y="1577678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16DAEF97-4ABF-48FB-BFEB-945B1432BD02}" type="TxLink">
                    <a:rPr lang="en-US" sz="1100" b="1" i="0" u="none" strike="noStrike">
                      <a:solidFill>
                        <a:srgbClr val="FFFF00"/>
                      </a:solidFill>
                      <a:latin typeface="Century Gothic"/>
                    </a:rPr>
                    <a:pPr algn="ctr"/>
                    <a:t>26</a:t>
                  </a:fld>
                  <a:endParaRPr lang="es-CO" sz="1100" b="1">
                    <a:solidFill>
                      <a:srgbClr val="FFFF00"/>
                    </a:solidFill>
                  </a:endParaRPr>
                </a:p>
              </xdr:txBody>
            </xdr:sp>
          </xdr:grpSp>
        </xdr:grpSp>
        <xdr:grpSp>
          <xdr:nvGrpSpPr>
            <xdr:cNvPr id="490" name="Grupo 489">
              <a:extLst>
                <a:ext uri="{FF2B5EF4-FFF2-40B4-BE49-F238E27FC236}">
                  <a16:creationId xmlns:a16="http://schemas.microsoft.com/office/drawing/2014/main" id="{00000000-0008-0000-0A00-0000BE020000}"/>
                </a:ext>
              </a:extLst>
            </xdr:cNvPr>
            <xdr:cNvGrpSpPr/>
          </xdr:nvGrpSpPr>
          <xdr:grpSpPr>
            <a:xfrm>
              <a:off x="16366116" y="14063294"/>
              <a:ext cx="2169673" cy="730012"/>
              <a:chOff x="16725472" y="15204109"/>
              <a:chExt cx="2165688" cy="743322"/>
            </a:xfrm>
          </xdr:grpSpPr>
          <xdr:grpSp>
            <xdr:nvGrpSpPr>
              <xdr:cNvPr id="527" name="Grupo 526">
                <a:extLst>
                  <a:ext uri="{FF2B5EF4-FFF2-40B4-BE49-F238E27FC236}">
                    <a16:creationId xmlns:a16="http://schemas.microsoft.com/office/drawing/2014/main" id="{00000000-0008-0000-0A00-0000D1020000}"/>
                  </a:ext>
                </a:extLst>
              </xdr:cNvPr>
              <xdr:cNvGrpSpPr/>
            </xdr:nvGrpSpPr>
            <xdr:grpSpPr>
              <a:xfrm>
                <a:off x="16725472" y="15204109"/>
                <a:ext cx="2165688" cy="739441"/>
                <a:chOff x="28351843" y="12458683"/>
                <a:chExt cx="2168635" cy="726638"/>
              </a:xfrm>
            </xdr:grpSpPr>
            <xdr:sp macro="" textlink="">
              <xdr:nvSpPr>
                <xdr:cNvPr id="532" name="Cheurón 531">
                  <a:extLst>
                    <a:ext uri="{FF2B5EF4-FFF2-40B4-BE49-F238E27FC236}">
                      <a16:creationId xmlns:a16="http://schemas.microsoft.com/office/drawing/2014/main" id="{00000000-0008-0000-0A00-0000D6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33" name="CuadroTexto 532">
                  <a:extLst>
                    <a:ext uri="{FF2B5EF4-FFF2-40B4-BE49-F238E27FC236}">
                      <a16:creationId xmlns:a16="http://schemas.microsoft.com/office/drawing/2014/main" id="{00000000-0008-0000-0A00-0000D7020000}"/>
                    </a:ext>
                  </a:extLst>
                </xdr:cNvPr>
                <xdr:cNvSpPr txBox="1"/>
              </xdr:nvSpPr>
              <xdr:spPr>
                <a:xfrm>
                  <a:off x="28452122"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P$22">
              <xdr:nvSpPr>
                <xdr:cNvPr id="534" name="Rectángulo redondeado 533">
                  <a:extLst>
                    <a:ext uri="{FF2B5EF4-FFF2-40B4-BE49-F238E27FC236}">
                      <a16:creationId xmlns:a16="http://schemas.microsoft.com/office/drawing/2014/main" id="{00000000-0008-0000-0A00-0000D8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DBA75A-1F7B-4D6D-B1A3-1E76502B6F2B}" type="TxLink">
                    <a:rPr lang="en-US" sz="1600" b="1" i="0" u="none" strike="noStrike">
                      <a:solidFill>
                        <a:srgbClr val="FFFF00"/>
                      </a:solidFill>
                      <a:latin typeface="Century Gothic"/>
                    </a:rPr>
                    <a:pPr algn="ctr"/>
                    <a:t>-</a:t>
                  </a:fld>
                  <a:endParaRPr lang="es-CO" sz="6000">
                    <a:solidFill>
                      <a:srgbClr val="FFFF00"/>
                    </a:solidFill>
                  </a:endParaRPr>
                </a:p>
              </xdr:txBody>
            </xdr:sp>
          </xdr:grpSp>
          <xdr:grpSp>
            <xdr:nvGrpSpPr>
              <xdr:cNvPr id="528" name="Grupo 527">
                <a:extLst>
                  <a:ext uri="{FF2B5EF4-FFF2-40B4-BE49-F238E27FC236}">
                    <a16:creationId xmlns:a16="http://schemas.microsoft.com/office/drawing/2014/main" id="{00000000-0008-0000-0A00-0000D2020000}"/>
                  </a:ext>
                </a:extLst>
              </xdr:cNvPr>
              <xdr:cNvGrpSpPr/>
            </xdr:nvGrpSpPr>
            <xdr:grpSpPr>
              <a:xfrm>
                <a:off x="17949031" y="15671577"/>
                <a:ext cx="825525" cy="275854"/>
                <a:chOff x="17966349" y="15786309"/>
                <a:chExt cx="825525" cy="275854"/>
              </a:xfrm>
            </xdr:grpSpPr>
            <xdr:sp macro="" textlink="">
              <xdr:nvSpPr>
                <xdr:cNvPr id="529" name="CuadroTexto 528">
                  <a:extLst>
                    <a:ext uri="{FF2B5EF4-FFF2-40B4-BE49-F238E27FC236}">
                      <a16:creationId xmlns:a16="http://schemas.microsoft.com/office/drawing/2014/main" id="{00000000-0008-0000-0A00-0000D3020000}"/>
                    </a:ext>
                  </a:extLst>
                </xdr:cNvPr>
                <xdr:cNvSpPr txBox="1"/>
              </xdr:nvSpPr>
              <xdr:spPr>
                <a:xfrm>
                  <a:off x="17966349" y="1578824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2">
              <xdr:nvSpPr>
                <xdr:cNvPr id="530" name="Rectángulo 529">
                  <a:extLst>
                    <a:ext uri="{FF2B5EF4-FFF2-40B4-BE49-F238E27FC236}">
                      <a16:creationId xmlns:a16="http://schemas.microsoft.com/office/drawing/2014/main" id="{00000000-0008-0000-0A00-0000D4020000}"/>
                    </a:ext>
                  </a:extLst>
                </xdr:cNvPr>
                <xdr:cNvSpPr/>
              </xdr:nvSpPr>
              <xdr:spPr>
                <a:xfrm>
                  <a:off x="18019054" y="1578630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5A584B63-5A8B-4AA2-94F4-2CBA62080715}"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22">
              <xdr:nvSpPr>
                <xdr:cNvPr id="531" name="Rectángulo 530">
                  <a:extLst>
                    <a:ext uri="{FF2B5EF4-FFF2-40B4-BE49-F238E27FC236}">
                      <a16:creationId xmlns:a16="http://schemas.microsoft.com/office/drawing/2014/main" id="{00000000-0008-0000-0A00-0000D5020000}"/>
                    </a:ext>
                  </a:extLst>
                </xdr:cNvPr>
                <xdr:cNvSpPr/>
              </xdr:nvSpPr>
              <xdr:spPr>
                <a:xfrm>
                  <a:off x="18305050" y="1578630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A33F892A-C5C0-40BD-9345-CC98808FE841}" type="TxLink">
                    <a:rPr lang="en-US" sz="1100" b="1" i="0" u="none" strike="noStrike">
                      <a:solidFill>
                        <a:srgbClr val="FFFF00"/>
                      </a:solidFill>
                      <a:latin typeface="Century Gothic"/>
                    </a:rPr>
                    <a:pPr algn="ctr"/>
                    <a:t>0</a:t>
                  </a:fld>
                  <a:endParaRPr lang="es-CO" sz="1100" b="1">
                    <a:solidFill>
                      <a:srgbClr val="FFFF00"/>
                    </a:solidFill>
                  </a:endParaRPr>
                </a:p>
              </xdr:txBody>
            </xdr:sp>
          </xdr:grpSp>
        </xdr:grpSp>
        <xdr:grpSp>
          <xdr:nvGrpSpPr>
            <xdr:cNvPr id="491" name="Grupo 490">
              <a:extLst>
                <a:ext uri="{FF2B5EF4-FFF2-40B4-BE49-F238E27FC236}">
                  <a16:creationId xmlns:a16="http://schemas.microsoft.com/office/drawing/2014/main" id="{00000000-0008-0000-0A00-0000BF020000}"/>
                </a:ext>
              </a:extLst>
            </xdr:cNvPr>
            <xdr:cNvGrpSpPr/>
          </xdr:nvGrpSpPr>
          <xdr:grpSpPr>
            <a:xfrm>
              <a:off x="18329207" y="14063299"/>
              <a:ext cx="2169673" cy="730012"/>
              <a:chOff x="18684957" y="15204109"/>
              <a:chExt cx="2165688" cy="743322"/>
            </a:xfrm>
          </xdr:grpSpPr>
          <xdr:grpSp>
            <xdr:nvGrpSpPr>
              <xdr:cNvPr id="519" name="Grupo 518">
                <a:extLst>
                  <a:ext uri="{FF2B5EF4-FFF2-40B4-BE49-F238E27FC236}">
                    <a16:creationId xmlns:a16="http://schemas.microsoft.com/office/drawing/2014/main" id="{00000000-0008-0000-0A00-0000C9020000}"/>
                  </a:ext>
                </a:extLst>
              </xdr:cNvPr>
              <xdr:cNvGrpSpPr/>
            </xdr:nvGrpSpPr>
            <xdr:grpSpPr>
              <a:xfrm>
                <a:off x="18684957" y="15204109"/>
                <a:ext cx="2165688" cy="739441"/>
                <a:chOff x="28351843" y="12458683"/>
                <a:chExt cx="2168635" cy="726638"/>
              </a:xfrm>
            </xdr:grpSpPr>
            <xdr:sp macro="" textlink="">
              <xdr:nvSpPr>
                <xdr:cNvPr id="524" name="Cheurón 523">
                  <a:extLst>
                    <a:ext uri="{FF2B5EF4-FFF2-40B4-BE49-F238E27FC236}">
                      <a16:creationId xmlns:a16="http://schemas.microsoft.com/office/drawing/2014/main" id="{00000000-0008-0000-0A00-0000CE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25" name="CuadroTexto 524">
                  <a:extLst>
                    <a:ext uri="{FF2B5EF4-FFF2-40B4-BE49-F238E27FC236}">
                      <a16:creationId xmlns:a16="http://schemas.microsoft.com/office/drawing/2014/main" id="{00000000-0008-0000-0A00-0000CF020000}"/>
                    </a:ext>
                  </a:extLst>
                </xdr:cNvPr>
                <xdr:cNvSpPr txBox="1"/>
              </xdr:nvSpPr>
              <xdr:spPr>
                <a:xfrm>
                  <a:off x="2846199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P$23">
              <xdr:nvSpPr>
                <xdr:cNvPr id="526" name="Rectángulo redondeado 525">
                  <a:extLst>
                    <a:ext uri="{FF2B5EF4-FFF2-40B4-BE49-F238E27FC236}">
                      <a16:creationId xmlns:a16="http://schemas.microsoft.com/office/drawing/2014/main" id="{00000000-0008-0000-0A00-0000D0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305C079-CEBE-4CE4-A785-1EEE104D9A3F}" type="TxLink">
                    <a:rPr lang="en-US" sz="1600" b="1" i="0" u="none" strike="noStrike">
                      <a:solidFill>
                        <a:srgbClr val="FFFF00"/>
                      </a:solidFill>
                      <a:latin typeface="Century Gothic"/>
                    </a:rPr>
                    <a:pPr algn="ctr"/>
                    <a:t>0,0%</a:t>
                  </a:fld>
                  <a:endParaRPr lang="es-CO" sz="7200">
                    <a:solidFill>
                      <a:srgbClr val="FFFF00"/>
                    </a:solidFill>
                  </a:endParaRPr>
                </a:p>
              </xdr:txBody>
            </xdr:sp>
          </xdr:grpSp>
          <xdr:grpSp>
            <xdr:nvGrpSpPr>
              <xdr:cNvPr id="520" name="Grupo 519">
                <a:extLst>
                  <a:ext uri="{FF2B5EF4-FFF2-40B4-BE49-F238E27FC236}">
                    <a16:creationId xmlns:a16="http://schemas.microsoft.com/office/drawing/2014/main" id="{00000000-0008-0000-0A00-0000CA020000}"/>
                  </a:ext>
                </a:extLst>
              </xdr:cNvPr>
              <xdr:cNvGrpSpPr/>
            </xdr:nvGrpSpPr>
            <xdr:grpSpPr>
              <a:xfrm>
                <a:off x="19902520" y="15671577"/>
                <a:ext cx="825525" cy="275854"/>
                <a:chOff x="19911179" y="15782847"/>
                <a:chExt cx="825525" cy="275854"/>
              </a:xfrm>
            </xdr:grpSpPr>
            <xdr:sp macro="" textlink="">
              <xdr:nvSpPr>
                <xdr:cNvPr id="521" name="CuadroTexto 520">
                  <a:extLst>
                    <a:ext uri="{FF2B5EF4-FFF2-40B4-BE49-F238E27FC236}">
                      <a16:creationId xmlns:a16="http://schemas.microsoft.com/office/drawing/2014/main" id="{00000000-0008-0000-0A00-0000CB020000}"/>
                    </a:ext>
                  </a:extLst>
                </xdr:cNvPr>
                <xdr:cNvSpPr txBox="1"/>
              </xdr:nvSpPr>
              <xdr:spPr>
                <a:xfrm>
                  <a:off x="19911179" y="1578477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3">
              <xdr:nvSpPr>
                <xdr:cNvPr id="522" name="Rectángulo 521">
                  <a:extLst>
                    <a:ext uri="{FF2B5EF4-FFF2-40B4-BE49-F238E27FC236}">
                      <a16:creationId xmlns:a16="http://schemas.microsoft.com/office/drawing/2014/main" id="{00000000-0008-0000-0A00-0000CC020000}"/>
                    </a:ext>
                  </a:extLst>
                </xdr:cNvPr>
                <xdr:cNvSpPr/>
              </xdr:nvSpPr>
              <xdr:spPr>
                <a:xfrm>
                  <a:off x="19963884" y="1578284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A417C47E-5094-47EE-B575-18F63F53B713}"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23">
              <xdr:nvSpPr>
                <xdr:cNvPr id="523" name="Rectángulo 522">
                  <a:extLst>
                    <a:ext uri="{FF2B5EF4-FFF2-40B4-BE49-F238E27FC236}">
                      <a16:creationId xmlns:a16="http://schemas.microsoft.com/office/drawing/2014/main" id="{00000000-0008-0000-0A00-0000CD020000}"/>
                    </a:ext>
                  </a:extLst>
                </xdr:cNvPr>
                <xdr:cNvSpPr/>
              </xdr:nvSpPr>
              <xdr:spPr>
                <a:xfrm>
                  <a:off x="20249880" y="1578284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B4C3EEC1-9633-486D-AA14-3F5DF4F0FA0A}" type="TxLink">
                    <a:rPr lang="en-US" sz="1100" b="1" i="0" u="none" strike="noStrike">
                      <a:solidFill>
                        <a:srgbClr val="FFFF00"/>
                      </a:solidFill>
                      <a:latin typeface="Century Gothic"/>
                    </a:rPr>
                    <a:pPr algn="ctr"/>
                    <a:t>14</a:t>
                  </a:fld>
                  <a:endParaRPr lang="es-CO" sz="1100" b="1">
                    <a:solidFill>
                      <a:srgbClr val="FFFF00"/>
                    </a:solidFill>
                  </a:endParaRPr>
                </a:p>
              </xdr:txBody>
            </xdr:sp>
          </xdr:grpSp>
        </xdr:grpSp>
        <xdr:grpSp>
          <xdr:nvGrpSpPr>
            <xdr:cNvPr id="492" name="Grupo 491">
              <a:extLst>
                <a:ext uri="{FF2B5EF4-FFF2-40B4-BE49-F238E27FC236}">
                  <a16:creationId xmlns:a16="http://schemas.microsoft.com/office/drawing/2014/main" id="{00000000-0008-0000-0A00-000096030000}"/>
                </a:ext>
              </a:extLst>
            </xdr:cNvPr>
            <xdr:cNvGrpSpPr/>
          </xdr:nvGrpSpPr>
          <xdr:grpSpPr>
            <a:xfrm>
              <a:off x="14430259" y="14835712"/>
              <a:ext cx="2161034" cy="726200"/>
              <a:chOff x="26392196" y="14922583"/>
              <a:chExt cx="2159963" cy="753182"/>
            </a:xfrm>
          </xdr:grpSpPr>
          <xdr:grpSp>
            <xdr:nvGrpSpPr>
              <xdr:cNvPr id="511" name="Grupo 510">
                <a:extLst>
                  <a:ext uri="{FF2B5EF4-FFF2-40B4-BE49-F238E27FC236}">
                    <a16:creationId xmlns:a16="http://schemas.microsoft.com/office/drawing/2014/main" id="{00000000-0008-0000-0A00-0000B8020000}"/>
                  </a:ext>
                </a:extLst>
              </xdr:cNvPr>
              <xdr:cNvGrpSpPr/>
            </xdr:nvGrpSpPr>
            <xdr:grpSpPr>
              <a:xfrm>
                <a:off x="26392196" y="14922583"/>
                <a:ext cx="2159963" cy="753182"/>
                <a:chOff x="28351843" y="12458683"/>
                <a:chExt cx="2160000" cy="726638"/>
              </a:xfrm>
            </xdr:grpSpPr>
            <xdr:sp macro="" textlink="">
              <xdr:nvSpPr>
                <xdr:cNvPr id="516" name="Cheurón 515">
                  <a:extLst>
                    <a:ext uri="{FF2B5EF4-FFF2-40B4-BE49-F238E27FC236}">
                      <a16:creationId xmlns:a16="http://schemas.microsoft.com/office/drawing/2014/main" id="{00000000-0008-0000-0A00-0000EF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17" name="CuadroTexto 516">
                  <a:extLst>
                    <a:ext uri="{FF2B5EF4-FFF2-40B4-BE49-F238E27FC236}">
                      <a16:creationId xmlns:a16="http://schemas.microsoft.com/office/drawing/2014/main" id="{00000000-0008-0000-0A00-0000F0020000}"/>
                    </a:ext>
                  </a:extLst>
                </xdr:cNvPr>
                <xdr:cNvSpPr txBox="1"/>
              </xdr:nvSpPr>
              <xdr:spPr>
                <a:xfrm>
                  <a:off x="2840009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P$25">
              <xdr:nvSpPr>
                <xdr:cNvPr id="518" name="Rectángulo redondeado 517">
                  <a:extLst>
                    <a:ext uri="{FF2B5EF4-FFF2-40B4-BE49-F238E27FC236}">
                      <a16:creationId xmlns:a16="http://schemas.microsoft.com/office/drawing/2014/main" id="{00000000-0008-0000-0A00-0000F1020000}"/>
                    </a:ext>
                  </a:extLst>
                </xdr:cNvPr>
                <xdr:cNvSpPr/>
              </xdr:nvSpPr>
              <xdr:spPr>
                <a:xfrm>
                  <a:off x="29553530"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D09B62B-8EF6-46C8-B191-D836F2BE96B4}" type="TxLink">
                    <a:rPr lang="en-US" sz="1600" b="1" i="0" u="none" strike="noStrike">
                      <a:solidFill>
                        <a:srgbClr val="FFFF00"/>
                      </a:solidFill>
                      <a:latin typeface="Century Gothic"/>
                    </a:rPr>
                    <a:pPr algn="ctr"/>
                    <a:t>-</a:t>
                  </a:fld>
                  <a:endParaRPr lang="es-CO" sz="4800">
                    <a:solidFill>
                      <a:srgbClr val="FFFF00"/>
                    </a:solidFill>
                  </a:endParaRPr>
                </a:p>
              </xdr:txBody>
            </xdr:sp>
          </xdr:grpSp>
          <xdr:grpSp>
            <xdr:nvGrpSpPr>
              <xdr:cNvPr id="512" name="Grupo 511">
                <a:extLst>
                  <a:ext uri="{FF2B5EF4-FFF2-40B4-BE49-F238E27FC236}">
                    <a16:creationId xmlns:a16="http://schemas.microsoft.com/office/drawing/2014/main" id="{00000000-0008-0000-0A00-000086030000}"/>
                  </a:ext>
                </a:extLst>
              </xdr:cNvPr>
              <xdr:cNvGrpSpPr/>
            </xdr:nvGrpSpPr>
            <xdr:grpSpPr>
              <a:xfrm>
                <a:off x="27609415" y="15334072"/>
                <a:ext cx="826634" cy="289589"/>
                <a:chOff x="21838689" y="15779592"/>
                <a:chExt cx="825525" cy="284306"/>
              </a:xfrm>
            </xdr:grpSpPr>
            <xdr:sp macro="" textlink="">
              <xdr:nvSpPr>
                <xdr:cNvPr id="513" name="CuadroTexto 512">
                  <a:extLst>
                    <a:ext uri="{FF2B5EF4-FFF2-40B4-BE49-F238E27FC236}">
                      <a16:creationId xmlns:a16="http://schemas.microsoft.com/office/drawing/2014/main" id="{00000000-0008-0000-0A00-000087030000}"/>
                    </a:ext>
                  </a:extLst>
                </xdr:cNvPr>
                <xdr:cNvSpPr txBox="1"/>
              </xdr:nvSpPr>
              <xdr:spPr>
                <a:xfrm>
                  <a:off x="21838689" y="1577959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5">
              <xdr:nvSpPr>
                <xdr:cNvPr id="514" name="Rectángulo 513">
                  <a:extLst>
                    <a:ext uri="{FF2B5EF4-FFF2-40B4-BE49-F238E27FC236}">
                      <a16:creationId xmlns:a16="http://schemas.microsoft.com/office/drawing/2014/main" id="{00000000-0008-0000-0A00-00008803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5D5C22F-28A6-496D-B4EF-9DE41592CA26}"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25">
              <xdr:nvSpPr>
                <xdr:cNvPr id="515" name="Rectángulo 514">
                  <a:extLst>
                    <a:ext uri="{FF2B5EF4-FFF2-40B4-BE49-F238E27FC236}">
                      <a16:creationId xmlns:a16="http://schemas.microsoft.com/office/drawing/2014/main" id="{00000000-0008-0000-0A00-00008903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A58479EF-E72C-44FD-AD1D-7B53F2A3DC9F}" type="TxLink">
                    <a:rPr lang="en-US" sz="1100" b="1" i="0" u="none" strike="noStrike">
                      <a:solidFill>
                        <a:srgbClr val="FFFF00"/>
                      </a:solidFill>
                      <a:latin typeface="Century Gothic"/>
                    </a:rPr>
                    <a:pPr algn="ctr"/>
                    <a:t>0</a:t>
                  </a:fld>
                  <a:endParaRPr lang="es-CO" sz="1100" b="1">
                    <a:solidFill>
                      <a:srgbClr val="FFFF00"/>
                    </a:solidFill>
                  </a:endParaRPr>
                </a:p>
              </xdr:txBody>
            </xdr:sp>
          </xdr:grpSp>
        </xdr:grpSp>
        <xdr:grpSp>
          <xdr:nvGrpSpPr>
            <xdr:cNvPr id="493" name="Grupo 492">
              <a:extLst>
                <a:ext uri="{FF2B5EF4-FFF2-40B4-BE49-F238E27FC236}">
                  <a16:creationId xmlns:a16="http://schemas.microsoft.com/office/drawing/2014/main" id="{00000000-0008-0000-0A00-000097030000}"/>
                </a:ext>
              </a:extLst>
            </xdr:cNvPr>
            <xdr:cNvGrpSpPr/>
          </xdr:nvGrpSpPr>
          <xdr:grpSpPr>
            <a:xfrm>
              <a:off x="16379735" y="14838435"/>
              <a:ext cx="2161034" cy="726200"/>
              <a:chOff x="28340706" y="14925407"/>
              <a:chExt cx="2159963" cy="753182"/>
            </a:xfrm>
          </xdr:grpSpPr>
          <xdr:grpSp>
            <xdr:nvGrpSpPr>
              <xdr:cNvPr id="503" name="Grupo 502">
                <a:extLst>
                  <a:ext uri="{FF2B5EF4-FFF2-40B4-BE49-F238E27FC236}">
                    <a16:creationId xmlns:a16="http://schemas.microsoft.com/office/drawing/2014/main" id="{00000000-0008-0000-0A00-0000B9020000}"/>
                  </a:ext>
                </a:extLst>
              </xdr:cNvPr>
              <xdr:cNvGrpSpPr/>
            </xdr:nvGrpSpPr>
            <xdr:grpSpPr>
              <a:xfrm>
                <a:off x="28340706" y="14925407"/>
                <a:ext cx="2159963" cy="753182"/>
                <a:chOff x="28351843" y="12458683"/>
                <a:chExt cx="2160000" cy="726638"/>
              </a:xfrm>
            </xdr:grpSpPr>
            <xdr:sp macro="" textlink="">
              <xdr:nvSpPr>
                <xdr:cNvPr id="508" name="Cheurón 507">
                  <a:extLst>
                    <a:ext uri="{FF2B5EF4-FFF2-40B4-BE49-F238E27FC236}">
                      <a16:creationId xmlns:a16="http://schemas.microsoft.com/office/drawing/2014/main" id="{00000000-0008-0000-0A00-0000EC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09" name="CuadroTexto 508">
                  <a:extLst>
                    <a:ext uri="{FF2B5EF4-FFF2-40B4-BE49-F238E27FC236}">
                      <a16:creationId xmlns:a16="http://schemas.microsoft.com/office/drawing/2014/main" id="{00000000-0008-0000-0A00-0000ED020000}"/>
                    </a:ext>
                  </a:extLst>
                </xdr:cNvPr>
                <xdr:cNvSpPr txBox="1"/>
              </xdr:nvSpPr>
              <xdr:spPr>
                <a:xfrm>
                  <a:off x="2842117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P$26">
              <xdr:nvSpPr>
                <xdr:cNvPr id="510" name="Rectángulo redondeado 509">
                  <a:extLst>
                    <a:ext uri="{FF2B5EF4-FFF2-40B4-BE49-F238E27FC236}">
                      <a16:creationId xmlns:a16="http://schemas.microsoft.com/office/drawing/2014/main" id="{00000000-0008-0000-0A00-0000EE020000}"/>
                    </a:ext>
                  </a:extLst>
                </xdr:cNvPr>
                <xdr:cNvSpPr/>
              </xdr:nvSpPr>
              <xdr:spPr>
                <a:xfrm>
                  <a:off x="29539922" y="1256542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4D7F0D4-E60E-4C48-AC44-54CDA71F0EE6}" type="TxLink">
                    <a:rPr lang="en-US" sz="1600" b="1" i="0" u="none" strike="noStrike">
                      <a:solidFill>
                        <a:srgbClr val="FFFF00"/>
                      </a:solidFill>
                      <a:latin typeface="Century Gothic"/>
                    </a:rPr>
                    <a:pPr algn="ctr"/>
                    <a:t>21,7%</a:t>
                  </a:fld>
                  <a:endParaRPr lang="es-CO" sz="6000">
                    <a:solidFill>
                      <a:srgbClr val="FFFF00"/>
                    </a:solidFill>
                  </a:endParaRPr>
                </a:p>
              </xdr:txBody>
            </xdr:sp>
          </xdr:grpSp>
          <xdr:grpSp>
            <xdr:nvGrpSpPr>
              <xdr:cNvPr id="504" name="Grupo 503">
                <a:extLst>
                  <a:ext uri="{FF2B5EF4-FFF2-40B4-BE49-F238E27FC236}">
                    <a16:creationId xmlns:a16="http://schemas.microsoft.com/office/drawing/2014/main" id="{00000000-0008-0000-0A00-00008A030000}"/>
                  </a:ext>
                </a:extLst>
              </xdr:cNvPr>
              <xdr:cNvGrpSpPr/>
            </xdr:nvGrpSpPr>
            <xdr:grpSpPr>
              <a:xfrm>
                <a:off x="29592724" y="15346919"/>
                <a:ext cx="826634" cy="280980"/>
                <a:chOff x="21838689" y="15788044"/>
                <a:chExt cx="825525" cy="275854"/>
              </a:xfrm>
            </xdr:grpSpPr>
            <xdr:sp macro="" textlink="">
              <xdr:nvSpPr>
                <xdr:cNvPr id="505" name="CuadroTexto 504">
                  <a:extLst>
                    <a:ext uri="{FF2B5EF4-FFF2-40B4-BE49-F238E27FC236}">
                      <a16:creationId xmlns:a16="http://schemas.microsoft.com/office/drawing/2014/main" id="{00000000-0008-0000-0A00-00008B030000}"/>
                    </a:ext>
                  </a:extLst>
                </xdr:cNvPr>
                <xdr:cNvSpPr txBox="1"/>
              </xdr:nvSpPr>
              <xdr:spPr>
                <a:xfrm>
                  <a:off x="21838689" y="1578997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6">
              <xdr:nvSpPr>
                <xdr:cNvPr id="506" name="Rectángulo 505">
                  <a:extLst>
                    <a:ext uri="{FF2B5EF4-FFF2-40B4-BE49-F238E27FC236}">
                      <a16:creationId xmlns:a16="http://schemas.microsoft.com/office/drawing/2014/main" id="{00000000-0008-0000-0A00-00008C03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9BDD05E-AB19-4DBA-9CBB-D578AD9F02EB}" type="TxLink">
                    <a:rPr lang="en-US" sz="1100" b="1" i="0" u="none" strike="noStrike">
                      <a:solidFill>
                        <a:srgbClr val="FFFF00"/>
                      </a:solidFill>
                      <a:latin typeface="Century Gothic"/>
                    </a:rPr>
                    <a:pPr algn="ctr"/>
                    <a:t>5</a:t>
                  </a:fld>
                  <a:endParaRPr lang="es-CO" sz="1100" b="1">
                    <a:solidFill>
                      <a:srgbClr val="FFFF00"/>
                    </a:solidFill>
                  </a:endParaRPr>
                </a:p>
              </xdr:txBody>
            </xdr:sp>
            <xdr:sp macro="" textlink="$V$26">
              <xdr:nvSpPr>
                <xdr:cNvPr id="507" name="Rectángulo 506">
                  <a:extLst>
                    <a:ext uri="{FF2B5EF4-FFF2-40B4-BE49-F238E27FC236}">
                      <a16:creationId xmlns:a16="http://schemas.microsoft.com/office/drawing/2014/main" id="{00000000-0008-0000-0A00-00008D03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BEFF4986-A2CB-4AE6-90A8-BC6962D64BB3}" type="TxLink">
                    <a:rPr lang="en-US" sz="1100" b="1" i="0" u="none" strike="noStrike">
                      <a:solidFill>
                        <a:srgbClr val="FFFF00"/>
                      </a:solidFill>
                      <a:latin typeface="Century Gothic"/>
                    </a:rPr>
                    <a:pPr algn="ctr"/>
                    <a:t>23</a:t>
                  </a:fld>
                  <a:endParaRPr lang="es-CO" sz="1100" b="1">
                    <a:solidFill>
                      <a:srgbClr val="FFFF00"/>
                    </a:solidFill>
                  </a:endParaRPr>
                </a:p>
              </xdr:txBody>
            </xdr:sp>
          </xdr:grpSp>
        </xdr:grpSp>
        <xdr:grpSp>
          <xdr:nvGrpSpPr>
            <xdr:cNvPr id="494" name="Grupo 493">
              <a:extLst>
                <a:ext uri="{FF2B5EF4-FFF2-40B4-BE49-F238E27FC236}">
                  <a16:creationId xmlns:a16="http://schemas.microsoft.com/office/drawing/2014/main" id="{00000000-0008-0000-0A00-000098030000}"/>
                </a:ext>
              </a:extLst>
            </xdr:cNvPr>
            <xdr:cNvGrpSpPr/>
          </xdr:nvGrpSpPr>
          <xdr:grpSpPr>
            <a:xfrm>
              <a:off x="18342816" y="14841155"/>
              <a:ext cx="2161034" cy="726200"/>
              <a:chOff x="30302815" y="14928228"/>
              <a:chExt cx="2159963" cy="753182"/>
            </a:xfrm>
          </xdr:grpSpPr>
          <xdr:grpSp>
            <xdr:nvGrpSpPr>
              <xdr:cNvPr id="495" name="Grupo 494">
                <a:extLst>
                  <a:ext uri="{FF2B5EF4-FFF2-40B4-BE49-F238E27FC236}">
                    <a16:creationId xmlns:a16="http://schemas.microsoft.com/office/drawing/2014/main" id="{00000000-0008-0000-0A00-0000BA020000}"/>
                  </a:ext>
                </a:extLst>
              </xdr:cNvPr>
              <xdr:cNvGrpSpPr/>
            </xdr:nvGrpSpPr>
            <xdr:grpSpPr>
              <a:xfrm>
                <a:off x="30302815" y="14928228"/>
                <a:ext cx="2159963" cy="753182"/>
                <a:chOff x="28351843" y="12458683"/>
                <a:chExt cx="2160000" cy="726638"/>
              </a:xfrm>
            </xdr:grpSpPr>
            <xdr:sp macro="" textlink="">
              <xdr:nvSpPr>
                <xdr:cNvPr id="500" name="Cheurón 499">
                  <a:extLst>
                    <a:ext uri="{FF2B5EF4-FFF2-40B4-BE49-F238E27FC236}">
                      <a16:creationId xmlns:a16="http://schemas.microsoft.com/office/drawing/2014/main" id="{00000000-0008-0000-0A00-0000E9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01" name="CuadroTexto 500">
                  <a:extLst>
                    <a:ext uri="{FF2B5EF4-FFF2-40B4-BE49-F238E27FC236}">
                      <a16:creationId xmlns:a16="http://schemas.microsoft.com/office/drawing/2014/main" id="{00000000-0008-0000-0A00-0000EA020000}"/>
                    </a:ext>
                  </a:extLst>
                </xdr:cNvPr>
                <xdr:cNvSpPr txBox="1"/>
              </xdr:nvSpPr>
              <xdr:spPr>
                <a:xfrm>
                  <a:off x="28393960"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P$27">
              <xdr:nvSpPr>
                <xdr:cNvPr id="502" name="Rectángulo redondeado 501">
                  <a:extLst>
                    <a:ext uri="{FF2B5EF4-FFF2-40B4-BE49-F238E27FC236}">
                      <a16:creationId xmlns:a16="http://schemas.microsoft.com/office/drawing/2014/main" id="{00000000-0008-0000-0A00-0000EB020000}"/>
                    </a:ext>
                  </a:extLst>
                </xdr:cNvPr>
                <xdr:cNvSpPr/>
              </xdr:nvSpPr>
              <xdr:spPr>
                <a:xfrm>
                  <a:off x="29557264" y="1255351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1D5E610-4F66-48DF-B138-4A4B586539B0}" type="TxLink">
                    <a:rPr lang="en-US" sz="1600" b="1" i="0" u="none" strike="noStrike">
                      <a:solidFill>
                        <a:srgbClr val="FFFF00"/>
                      </a:solidFill>
                      <a:latin typeface="Century Gothic"/>
                    </a:rPr>
                    <a:pPr algn="ctr"/>
                    <a:t>-</a:t>
                  </a:fld>
                  <a:endParaRPr lang="es-CO" sz="7200">
                    <a:solidFill>
                      <a:srgbClr val="FFFF00"/>
                    </a:solidFill>
                  </a:endParaRPr>
                </a:p>
              </xdr:txBody>
            </xdr:sp>
          </xdr:grpSp>
          <xdr:grpSp>
            <xdr:nvGrpSpPr>
              <xdr:cNvPr id="496" name="Grupo 495">
                <a:extLst>
                  <a:ext uri="{FF2B5EF4-FFF2-40B4-BE49-F238E27FC236}">
                    <a16:creationId xmlns:a16="http://schemas.microsoft.com/office/drawing/2014/main" id="{00000000-0008-0000-0A00-000092030000}"/>
                  </a:ext>
                </a:extLst>
              </xdr:cNvPr>
              <xdr:cNvGrpSpPr/>
            </xdr:nvGrpSpPr>
            <xdr:grpSpPr>
              <a:xfrm>
                <a:off x="31523122" y="15351156"/>
                <a:ext cx="826634" cy="280980"/>
                <a:chOff x="21838689" y="15788044"/>
                <a:chExt cx="825525" cy="275854"/>
              </a:xfrm>
            </xdr:grpSpPr>
            <xdr:sp macro="" textlink="">
              <xdr:nvSpPr>
                <xdr:cNvPr id="497" name="CuadroTexto 496">
                  <a:extLst>
                    <a:ext uri="{FF2B5EF4-FFF2-40B4-BE49-F238E27FC236}">
                      <a16:creationId xmlns:a16="http://schemas.microsoft.com/office/drawing/2014/main" id="{00000000-0008-0000-0A00-000093030000}"/>
                    </a:ext>
                  </a:extLst>
                </xdr:cNvPr>
                <xdr:cNvSpPr txBox="1"/>
              </xdr:nvSpPr>
              <xdr:spPr>
                <a:xfrm>
                  <a:off x="21838689" y="15789976"/>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7">
              <xdr:nvSpPr>
                <xdr:cNvPr id="498" name="Rectángulo 497">
                  <a:extLst>
                    <a:ext uri="{FF2B5EF4-FFF2-40B4-BE49-F238E27FC236}">
                      <a16:creationId xmlns:a16="http://schemas.microsoft.com/office/drawing/2014/main" id="{00000000-0008-0000-0A00-00009403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DB9EAD1-39AB-47FF-A707-E41E7FC7DE05}"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V$27">
              <xdr:nvSpPr>
                <xdr:cNvPr id="499" name="Rectángulo 498">
                  <a:extLst>
                    <a:ext uri="{FF2B5EF4-FFF2-40B4-BE49-F238E27FC236}">
                      <a16:creationId xmlns:a16="http://schemas.microsoft.com/office/drawing/2014/main" id="{00000000-0008-0000-0A00-00009503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5D666B1-502E-4241-B406-F90C1AB2C48A}" type="TxLink">
                    <a:rPr lang="en-US" sz="1100" b="1" i="0" u="none" strike="noStrike">
                      <a:solidFill>
                        <a:srgbClr val="FFFF00"/>
                      </a:solidFill>
                      <a:latin typeface="Century Gothic"/>
                    </a:rPr>
                    <a:pPr algn="ctr"/>
                    <a:t>-</a:t>
                  </a:fld>
                  <a:endParaRPr lang="es-CO" sz="1100" b="1">
                    <a:solidFill>
                      <a:srgbClr val="FFFF00"/>
                    </a:solidFill>
                  </a:endParaRPr>
                </a:p>
              </xdr:txBody>
            </xdr:sp>
          </xdr:grpSp>
        </xdr:grp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273241</xdr:colOff>
      <xdr:row>1</xdr:row>
      <xdr:rowOff>85724</xdr:rowOff>
    </xdr:from>
    <xdr:to>
      <xdr:col>2</xdr:col>
      <xdr:colOff>1762124</xdr:colOff>
      <xdr:row>31</xdr:row>
      <xdr:rowOff>98729</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83816" y="295274"/>
          <a:ext cx="7889683" cy="59947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68033</xdr:colOff>
      <xdr:row>11</xdr:row>
      <xdr:rowOff>74842</xdr:rowOff>
    </xdr:from>
    <xdr:to>
      <xdr:col>4</xdr:col>
      <xdr:colOff>1064076</xdr:colOff>
      <xdr:row>29</xdr:row>
      <xdr:rowOff>26831</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136069" y="3830413"/>
          <a:ext cx="4574721" cy="3625918"/>
          <a:chOff x="136069" y="3830413"/>
          <a:chExt cx="4574721" cy="3625918"/>
        </a:xfrm>
      </xdr:grpSpPr>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136071" y="4756331"/>
          <a:ext cx="4572000" cy="27000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upo 3">
            <a:extLst>
              <a:ext uri="{FF2B5EF4-FFF2-40B4-BE49-F238E27FC236}">
                <a16:creationId xmlns:a16="http://schemas.microsoft.com/office/drawing/2014/main" id="{00000000-0008-0000-0500-000004000000}"/>
              </a:ext>
            </a:extLst>
          </xdr:cNvPr>
          <xdr:cNvGrpSpPr/>
        </xdr:nvGrpSpPr>
        <xdr:grpSpPr>
          <a:xfrm>
            <a:off x="136069" y="3830413"/>
            <a:ext cx="4574721" cy="874884"/>
            <a:chOff x="136069" y="3830413"/>
            <a:chExt cx="4574721" cy="874884"/>
          </a:xfrm>
        </xdr:grpSpPr>
        <xdr:sp macro="" textlink="">
          <xdr:nvSpPr>
            <xdr:cNvPr id="5" name="Rectángulo 4">
              <a:extLst>
                <a:ext uri="{FF2B5EF4-FFF2-40B4-BE49-F238E27FC236}">
                  <a16:creationId xmlns:a16="http://schemas.microsoft.com/office/drawing/2014/main" id="{00000000-0008-0000-0500-000005000000}"/>
                </a:ext>
              </a:extLst>
            </xdr:cNvPr>
            <xdr:cNvSpPr/>
          </xdr:nvSpPr>
          <xdr:spPr>
            <a:xfrm>
              <a:off x="136069" y="3830413"/>
              <a:ext cx="3600000" cy="874884"/>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tx1"/>
                  </a:solidFill>
                  <a:latin typeface="Century Gothic" panose="020B0502020202020204" pitchFamily="34" charset="0"/>
                </a:rPr>
                <a:t>PROPORCION DE AUDITORÍAS CON ENFOQUE DE RIESGOS CON PLAN DE MEJORA, ESE METROSALUD, 2019 - 2023</a:t>
              </a:r>
            </a:p>
          </xdr:txBody>
        </xdr:sp>
        <xdr:grpSp>
          <xdr:nvGrpSpPr>
            <xdr:cNvPr id="6" name="Grupo 5">
              <a:extLst>
                <a:ext uri="{FF2B5EF4-FFF2-40B4-BE49-F238E27FC236}">
                  <a16:creationId xmlns:a16="http://schemas.microsoft.com/office/drawing/2014/main" id="{00000000-0008-0000-0500-000006000000}"/>
                </a:ext>
              </a:extLst>
            </xdr:cNvPr>
            <xdr:cNvGrpSpPr/>
          </xdr:nvGrpSpPr>
          <xdr:grpSpPr>
            <a:xfrm>
              <a:off x="3796390" y="3830413"/>
              <a:ext cx="914400" cy="874884"/>
              <a:chOff x="3796390" y="3830413"/>
              <a:chExt cx="914400" cy="874884"/>
            </a:xfrm>
          </xdr:grpSpPr>
          <xdr:sp macro="" textlink="$L$10">
            <xdr:nvSpPr>
              <xdr:cNvPr id="7" name="Rectángulo 6">
                <a:extLst>
                  <a:ext uri="{FF2B5EF4-FFF2-40B4-BE49-F238E27FC236}">
                    <a16:creationId xmlns:a16="http://schemas.microsoft.com/office/drawing/2014/main" id="{00000000-0008-0000-0500-000007000000}"/>
                  </a:ext>
                </a:extLst>
              </xdr:cNvPr>
              <xdr:cNvSpPr/>
            </xdr:nvSpPr>
            <xdr:spPr>
              <a:xfrm>
                <a:off x="3796390" y="3830413"/>
                <a:ext cx="9144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E7A09B0-BC52-4372-984B-E632E7B197BB}" type="TxLink">
                  <a:rPr lang="en-US" sz="1800" b="1" i="0" u="none" strike="noStrike">
                    <a:solidFill>
                      <a:schemeClr val="tx1">
                        <a:lumMod val="95000"/>
                        <a:lumOff val="5000"/>
                      </a:schemeClr>
                    </a:solidFill>
                    <a:latin typeface="Century Gothic"/>
                  </a:rPr>
                  <a:pPr algn="ctr"/>
                  <a:t>46,3%</a:t>
                </a:fld>
                <a:endParaRPr lang="es-CO" sz="1800">
                  <a:solidFill>
                    <a:schemeClr val="tx1">
                      <a:lumMod val="95000"/>
                      <a:lumOff val="5000"/>
                    </a:schemeClr>
                  </a:solidFill>
                </a:endParaRPr>
              </a:p>
            </xdr:txBody>
          </xdr:sp>
          <xdr:grpSp>
            <xdr:nvGrpSpPr>
              <xdr:cNvPr id="8" name="Grupo 7">
                <a:extLst>
                  <a:ext uri="{FF2B5EF4-FFF2-40B4-BE49-F238E27FC236}">
                    <a16:creationId xmlns:a16="http://schemas.microsoft.com/office/drawing/2014/main" id="{00000000-0008-0000-0500-000008000000}"/>
                  </a:ext>
                </a:extLst>
              </xdr:cNvPr>
              <xdr:cNvGrpSpPr/>
            </xdr:nvGrpSpPr>
            <xdr:grpSpPr>
              <a:xfrm>
                <a:off x="3864428" y="4390445"/>
                <a:ext cx="771484" cy="311125"/>
                <a:chOff x="2394857" y="8203485"/>
                <a:chExt cx="771484" cy="311125"/>
              </a:xfrm>
            </xdr:grpSpPr>
            <xdr:sp macro="" textlink="$D$10">
              <xdr:nvSpPr>
                <xdr:cNvPr id="9" name="Rectángulo 8">
                  <a:extLst>
                    <a:ext uri="{FF2B5EF4-FFF2-40B4-BE49-F238E27FC236}">
                      <a16:creationId xmlns:a16="http://schemas.microsoft.com/office/drawing/2014/main" id="{00000000-0008-0000-0500-000009000000}"/>
                    </a:ext>
                  </a:extLst>
                </xdr:cNvPr>
                <xdr:cNvSpPr/>
              </xdr:nvSpPr>
              <xdr:spPr>
                <a:xfrm>
                  <a:off x="2423012" y="8226688"/>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4DF38C-8B3C-4212-9785-1EBEB69ABF91}" type="TxLink">
                    <a:rPr lang="en-US" sz="1100" b="1" i="0" u="none" strike="noStrike">
                      <a:solidFill>
                        <a:schemeClr val="tx1">
                          <a:lumMod val="95000"/>
                          <a:lumOff val="5000"/>
                        </a:schemeClr>
                      </a:solidFill>
                      <a:latin typeface="Century Gothic"/>
                    </a:rPr>
                    <a:pPr algn="ctr"/>
                    <a:t>38</a:t>
                  </a:fld>
                  <a:endParaRPr lang="es-CO" sz="1050">
                    <a:solidFill>
                      <a:schemeClr val="tx1">
                        <a:lumMod val="95000"/>
                        <a:lumOff val="5000"/>
                      </a:schemeClr>
                    </a:solidFill>
                  </a:endParaRP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2394857" y="8203485"/>
                  <a:ext cx="771484" cy="27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latin typeface="Century Gothic" panose="020B0502020202020204" pitchFamily="34" charset="0"/>
                    </a:rPr>
                    <a:t>(</a:t>
                  </a:r>
                  <a:r>
                    <a:rPr lang="es-CO" sz="1100" baseline="0">
                      <a:latin typeface="Century Gothic" panose="020B0502020202020204" pitchFamily="34" charset="0"/>
                    </a:rPr>
                    <a:t>      /      </a:t>
                  </a:r>
                  <a:r>
                    <a:rPr lang="es-CO" sz="1100">
                      <a:latin typeface="Century Gothic" panose="020B0502020202020204" pitchFamily="34" charset="0"/>
                    </a:rPr>
                    <a:t>)</a:t>
                  </a:r>
                </a:p>
              </xdr:txBody>
            </xdr:sp>
            <xdr:sp macro="" textlink="$C$10">
              <xdr:nvSpPr>
                <xdr:cNvPr id="11" name="Rectángulo 10">
                  <a:extLst>
                    <a:ext uri="{FF2B5EF4-FFF2-40B4-BE49-F238E27FC236}">
                      <a16:creationId xmlns:a16="http://schemas.microsoft.com/office/drawing/2014/main" id="{00000000-0008-0000-0500-00000B000000}"/>
                    </a:ext>
                  </a:extLst>
                </xdr:cNvPr>
                <xdr:cNvSpPr/>
              </xdr:nvSpPr>
              <xdr:spPr>
                <a:xfrm>
                  <a:off x="2712636" y="8226688"/>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F3F9DFD-AAC4-4DB5-A366-06128AB66815}" type="TxLink">
                    <a:rPr lang="en-US" sz="1100" b="1" i="0" u="none" strike="noStrike">
                      <a:solidFill>
                        <a:schemeClr val="tx1">
                          <a:lumMod val="95000"/>
                          <a:lumOff val="5000"/>
                        </a:schemeClr>
                      </a:solidFill>
                      <a:latin typeface="Century Gothic"/>
                    </a:rPr>
                    <a:pPr algn="ctr"/>
                    <a:t>82</a:t>
                  </a:fld>
                  <a:endParaRPr lang="es-CO" sz="1050">
                    <a:solidFill>
                      <a:schemeClr val="tx1">
                        <a:lumMod val="95000"/>
                        <a:lumOff val="5000"/>
                      </a:schemeClr>
                    </a:solidFill>
                  </a:endParaRPr>
                </a:p>
              </xdr:txBody>
            </xdr:sp>
          </xdr:grpSp>
        </xdr:grpSp>
      </xdr:grpSp>
    </xdr:grpSp>
    <xdr:clientData/>
  </xdr:twoCellAnchor>
  <xdr:twoCellAnchor>
    <xdr:from>
      <xdr:col>4</xdr:col>
      <xdr:colOff>1360714</xdr:colOff>
      <xdr:row>11</xdr:row>
      <xdr:rowOff>74842</xdr:rowOff>
    </xdr:from>
    <xdr:to>
      <xdr:col>9</xdr:col>
      <xdr:colOff>84363</xdr:colOff>
      <xdr:row>29</xdr:row>
      <xdr:rowOff>26831</xdr:rowOff>
    </xdr:to>
    <xdr:grpSp>
      <xdr:nvGrpSpPr>
        <xdr:cNvPr id="12" name="Grupo 11">
          <a:extLst>
            <a:ext uri="{FF2B5EF4-FFF2-40B4-BE49-F238E27FC236}">
              <a16:creationId xmlns:a16="http://schemas.microsoft.com/office/drawing/2014/main" id="{00000000-0008-0000-0500-00000C000000}"/>
            </a:ext>
          </a:extLst>
        </xdr:cNvPr>
        <xdr:cNvGrpSpPr/>
      </xdr:nvGrpSpPr>
      <xdr:grpSpPr>
        <a:xfrm>
          <a:off x="5007428" y="3830413"/>
          <a:ext cx="4574721" cy="3625918"/>
          <a:chOff x="5007428" y="3830413"/>
          <a:chExt cx="4574721" cy="3625918"/>
        </a:xfrm>
      </xdr:grpSpPr>
      <xdr:graphicFrame macro="">
        <xdr:nvGraphicFramePr>
          <xdr:cNvPr id="13" name="Gráfico 12">
            <a:extLst>
              <a:ext uri="{FF2B5EF4-FFF2-40B4-BE49-F238E27FC236}">
                <a16:creationId xmlns:a16="http://schemas.microsoft.com/office/drawing/2014/main" id="{00000000-0008-0000-0500-00000D000000}"/>
              </a:ext>
            </a:extLst>
          </xdr:cNvPr>
          <xdr:cNvGraphicFramePr/>
        </xdr:nvGraphicFramePr>
        <xdr:xfrm>
          <a:off x="5007430" y="4756331"/>
          <a:ext cx="4572000" cy="270000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4" name="Grupo 13">
            <a:extLst>
              <a:ext uri="{FF2B5EF4-FFF2-40B4-BE49-F238E27FC236}">
                <a16:creationId xmlns:a16="http://schemas.microsoft.com/office/drawing/2014/main" id="{00000000-0008-0000-0500-00000E000000}"/>
              </a:ext>
            </a:extLst>
          </xdr:cNvPr>
          <xdr:cNvGrpSpPr/>
        </xdr:nvGrpSpPr>
        <xdr:grpSpPr>
          <a:xfrm>
            <a:off x="5007428" y="3830413"/>
            <a:ext cx="4574721" cy="874884"/>
            <a:chOff x="5007428" y="3830413"/>
            <a:chExt cx="4574721" cy="874884"/>
          </a:xfrm>
        </xdr:grpSpPr>
        <xdr:sp macro="" textlink="">
          <xdr:nvSpPr>
            <xdr:cNvPr id="15" name="Rectángulo 14">
              <a:extLst>
                <a:ext uri="{FF2B5EF4-FFF2-40B4-BE49-F238E27FC236}">
                  <a16:creationId xmlns:a16="http://schemas.microsoft.com/office/drawing/2014/main" id="{00000000-0008-0000-0500-00000F000000}"/>
                </a:ext>
              </a:extLst>
            </xdr:cNvPr>
            <xdr:cNvSpPr/>
          </xdr:nvSpPr>
          <xdr:spPr>
            <a:xfrm>
              <a:off x="5007428" y="3830413"/>
              <a:ext cx="3600000" cy="874884"/>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tx1"/>
                  </a:solidFill>
                  <a:latin typeface="Century Gothic" panose="020B0502020202020204" pitchFamily="34" charset="0"/>
                  <a:ea typeface="+mn-ea"/>
                  <a:cs typeface="+mn-cs"/>
                </a:rPr>
                <a:t>PROPORCION DE ACCIONES DE MEJORA CUMPLIDAS DE</a:t>
              </a:r>
              <a:r>
                <a:rPr lang="es-CO" sz="1100" b="1" baseline="0">
                  <a:solidFill>
                    <a:schemeClr val="tx1"/>
                  </a:solidFill>
                  <a:latin typeface="Century Gothic" panose="020B0502020202020204" pitchFamily="34" charset="0"/>
                  <a:ea typeface="+mn-ea"/>
                  <a:cs typeface="+mn-cs"/>
                </a:rPr>
                <a:t> LAS </a:t>
              </a:r>
              <a:r>
                <a:rPr lang="es-CO" sz="1100" b="1">
                  <a:solidFill>
                    <a:schemeClr val="tx1"/>
                  </a:solidFill>
                  <a:latin typeface="Century Gothic" panose="020B0502020202020204" pitchFamily="34" charset="0"/>
                  <a:ea typeface="+mn-ea"/>
                  <a:cs typeface="+mn-cs"/>
                </a:rPr>
                <a:t>AUDITORÍAS CON ENFOQUE DE RIESGOS, ESE METROSALUD, 2019 - 2023</a:t>
              </a:r>
            </a:p>
          </xdr:txBody>
        </xdr:sp>
        <xdr:grpSp>
          <xdr:nvGrpSpPr>
            <xdr:cNvPr id="16" name="Grupo 15">
              <a:extLst>
                <a:ext uri="{FF2B5EF4-FFF2-40B4-BE49-F238E27FC236}">
                  <a16:creationId xmlns:a16="http://schemas.microsoft.com/office/drawing/2014/main" id="{00000000-0008-0000-0500-000010000000}"/>
                </a:ext>
              </a:extLst>
            </xdr:cNvPr>
            <xdr:cNvGrpSpPr/>
          </xdr:nvGrpSpPr>
          <xdr:grpSpPr>
            <a:xfrm>
              <a:off x="8667749" y="3830413"/>
              <a:ext cx="914400" cy="874884"/>
              <a:chOff x="8667749" y="3830413"/>
              <a:chExt cx="914400" cy="874884"/>
            </a:xfrm>
          </xdr:grpSpPr>
          <xdr:sp macro="" textlink="$M$10">
            <xdr:nvSpPr>
              <xdr:cNvPr id="17" name="Rectángulo 16">
                <a:extLst>
                  <a:ext uri="{FF2B5EF4-FFF2-40B4-BE49-F238E27FC236}">
                    <a16:creationId xmlns:a16="http://schemas.microsoft.com/office/drawing/2014/main" id="{00000000-0008-0000-0500-000011000000}"/>
                  </a:ext>
                </a:extLst>
              </xdr:cNvPr>
              <xdr:cNvSpPr/>
            </xdr:nvSpPr>
            <xdr:spPr>
              <a:xfrm>
                <a:off x="8667749" y="3830413"/>
                <a:ext cx="9144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4F3974D-1070-4EA2-8002-7AB5EEC5B8EB}" type="TxLink">
                  <a:rPr lang="en-US" sz="1800" b="1" i="0" u="none" strike="noStrike">
                    <a:solidFill>
                      <a:schemeClr val="tx1">
                        <a:lumMod val="95000"/>
                        <a:lumOff val="5000"/>
                      </a:schemeClr>
                    </a:solidFill>
                    <a:latin typeface="Century Gothic"/>
                    <a:ea typeface="+mn-ea"/>
                    <a:cs typeface="+mn-cs"/>
                  </a:rPr>
                  <a:pPr marL="0" indent="0" algn="ctr"/>
                  <a:t>29,5%</a:t>
                </a:fld>
                <a:endParaRPr lang="es-CO" sz="1800" b="1" i="0" u="none" strike="noStrike">
                  <a:solidFill>
                    <a:schemeClr val="tx1">
                      <a:lumMod val="95000"/>
                      <a:lumOff val="5000"/>
                    </a:schemeClr>
                  </a:solidFill>
                  <a:latin typeface="Century Gothic"/>
                  <a:ea typeface="+mn-ea"/>
                  <a:cs typeface="+mn-cs"/>
                </a:endParaRPr>
              </a:p>
            </xdr:txBody>
          </xdr:sp>
          <xdr:grpSp>
            <xdr:nvGrpSpPr>
              <xdr:cNvPr id="18" name="Grupo 17">
                <a:extLst>
                  <a:ext uri="{FF2B5EF4-FFF2-40B4-BE49-F238E27FC236}">
                    <a16:creationId xmlns:a16="http://schemas.microsoft.com/office/drawing/2014/main" id="{00000000-0008-0000-0500-000012000000}"/>
                  </a:ext>
                </a:extLst>
              </xdr:cNvPr>
              <xdr:cNvGrpSpPr/>
            </xdr:nvGrpSpPr>
            <xdr:grpSpPr>
              <a:xfrm>
                <a:off x="8712233" y="4390445"/>
                <a:ext cx="843231" cy="311125"/>
                <a:chOff x="2436619" y="8357964"/>
                <a:chExt cx="843231" cy="311125"/>
              </a:xfrm>
            </xdr:grpSpPr>
            <xdr:sp macro="" textlink="$G$10">
              <xdr:nvSpPr>
                <xdr:cNvPr id="19" name="Rectángulo 18">
                  <a:extLst>
                    <a:ext uri="{FF2B5EF4-FFF2-40B4-BE49-F238E27FC236}">
                      <a16:creationId xmlns:a16="http://schemas.microsoft.com/office/drawing/2014/main" id="{00000000-0008-0000-0500-000013000000}"/>
                    </a:ext>
                  </a:extLst>
                </xdr:cNvPr>
                <xdr:cNvSpPr/>
              </xdr:nvSpPr>
              <xdr:spPr>
                <a:xfrm>
                  <a:off x="2436619" y="8381167"/>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050781B-56AE-4494-9B43-9B10B3303D74}" type="TxLink">
                    <a:rPr lang="en-US" sz="1100" b="1" i="0" u="none" strike="noStrike">
                      <a:solidFill>
                        <a:schemeClr val="tx1">
                          <a:lumMod val="95000"/>
                          <a:lumOff val="5000"/>
                        </a:schemeClr>
                      </a:solidFill>
                      <a:latin typeface="Century Gothic"/>
                    </a:rPr>
                    <a:pPr algn="ctr"/>
                    <a:t>72</a:t>
                  </a:fld>
                  <a:endParaRPr lang="es-CO" sz="1000">
                    <a:solidFill>
                      <a:schemeClr val="tx1">
                        <a:lumMod val="95000"/>
                        <a:lumOff val="5000"/>
                      </a:schemeClr>
                    </a:solidFill>
                  </a:endParaRPr>
                </a:p>
              </xdr:txBody>
            </xdr:sp>
            <xdr:sp macro="" textlink="">
              <xdr:nvSpPr>
                <xdr:cNvPr id="20" name="CuadroTexto 19">
                  <a:extLst>
                    <a:ext uri="{FF2B5EF4-FFF2-40B4-BE49-F238E27FC236}">
                      <a16:creationId xmlns:a16="http://schemas.microsoft.com/office/drawing/2014/main" id="{00000000-0008-0000-0500-000014000000}"/>
                    </a:ext>
                  </a:extLst>
                </xdr:cNvPr>
                <xdr:cNvSpPr txBox="1"/>
              </xdr:nvSpPr>
              <xdr:spPr>
                <a:xfrm>
                  <a:off x="2449285" y="8357964"/>
                  <a:ext cx="771484" cy="27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chemeClr val="tx1">
                          <a:lumMod val="95000"/>
                          <a:lumOff val="5000"/>
                        </a:schemeClr>
                      </a:solidFill>
                      <a:latin typeface="Century Gothic" panose="020B0502020202020204" pitchFamily="34" charset="0"/>
                    </a:rPr>
                    <a:t>(</a:t>
                  </a:r>
                  <a:r>
                    <a:rPr lang="es-CO" sz="1100" baseline="0">
                      <a:solidFill>
                        <a:schemeClr val="tx1">
                          <a:lumMod val="95000"/>
                          <a:lumOff val="5000"/>
                        </a:schemeClr>
                      </a:solidFill>
                      <a:latin typeface="Century Gothic" panose="020B0502020202020204" pitchFamily="34" charset="0"/>
                    </a:rPr>
                    <a:t>        /        </a:t>
                  </a:r>
                  <a:r>
                    <a:rPr lang="es-CO" sz="1100">
                      <a:solidFill>
                        <a:schemeClr val="tx1">
                          <a:lumMod val="95000"/>
                          <a:lumOff val="5000"/>
                        </a:schemeClr>
                      </a:solidFill>
                      <a:latin typeface="Century Gothic" panose="020B0502020202020204" pitchFamily="34" charset="0"/>
                    </a:rPr>
                    <a:t>)</a:t>
                  </a:r>
                </a:p>
              </xdr:txBody>
            </xdr:sp>
            <xdr:sp macro="" textlink="$F$10">
              <xdr:nvSpPr>
                <xdr:cNvPr id="21" name="Rectángulo 20">
                  <a:extLst>
                    <a:ext uri="{FF2B5EF4-FFF2-40B4-BE49-F238E27FC236}">
                      <a16:creationId xmlns:a16="http://schemas.microsoft.com/office/drawing/2014/main" id="{00000000-0008-0000-0500-000015000000}"/>
                    </a:ext>
                  </a:extLst>
                </xdr:cNvPr>
                <xdr:cNvSpPr/>
              </xdr:nvSpPr>
              <xdr:spPr>
                <a:xfrm>
                  <a:off x="2739850" y="8381167"/>
                  <a:ext cx="540000"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92BB31-1226-4BE0-BC1B-7020B09DF18E}" type="TxLink">
                    <a:rPr lang="en-US" sz="1100" b="1" i="0" u="none" strike="noStrike">
                      <a:solidFill>
                        <a:schemeClr val="tx1">
                          <a:lumMod val="95000"/>
                          <a:lumOff val="5000"/>
                        </a:schemeClr>
                      </a:solidFill>
                      <a:latin typeface="Century Gothic"/>
                    </a:rPr>
                    <a:pPr algn="ctr"/>
                    <a:t>350</a:t>
                  </a:fld>
                  <a:endParaRPr lang="es-CO" sz="1000">
                    <a:solidFill>
                      <a:schemeClr val="tx1">
                        <a:lumMod val="95000"/>
                        <a:lumOff val="5000"/>
                      </a:schemeClr>
                    </a:solidFill>
                  </a:endParaRPr>
                </a:p>
              </xdr:txBody>
            </xdr:sp>
          </xdr:grpSp>
        </xdr:grpSp>
      </xdr:grpSp>
    </xdr:grpSp>
    <xdr:clientData/>
  </xdr:twoCellAnchor>
  <xdr:twoCellAnchor>
    <xdr:from>
      <xdr:col>9</xdr:col>
      <xdr:colOff>381000</xdr:colOff>
      <xdr:row>11</xdr:row>
      <xdr:rowOff>74842</xdr:rowOff>
    </xdr:from>
    <xdr:to>
      <xdr:col>12</xdr:col>
      <xdr:colOff>1213757</xdr:colOff>
      <xdr:row>29</xdr:row>
      <xdr:rowOff>26831</xdr:rowOff>
    </xdr:to>
    <xdr:grpSp>
      <xdr:nvGrpSpPr>
        <xdr:cNvPr id="22" name="Grupo 21">
          <a:extLst>
            <a:ext uri="{FF2B5EF4-FFF2-40B4-BE49-F238E27FC236}">
              <a16:creationId xmlns:a16="http://schemas.microsoft.com/office/drawing/2014/main" id="{00000000-0008-0000-0500-000016000000}"/>
            </a:ext>
          </a:extLst>
        </xdr:cNvPr>
        <xdr:cNvGrpSpPr/>
      </xdr:nvGrpSpPr>
      <xdr:grpSpPr>
        <a:xfrm>
          <a:off x="9878786" y="3830413"/>
          <a:ext cx="4574721" cy="3625918"/>
          <a:chOff x="9878786" y="3830413"/>
          <a:chExt cx="4574721" cy="3625918"/>
        </a:xfrm>
      </xdr:grpSpPr>
      <xdr:graphicFrame macro="">
        <xdr:nvGraphicFramePr>
          <xdr:cNvPr id="23" name="Gráfico 22">
            <a:extLst>
              <a:ext uri="{FF2B5EF4-FFF2-40B4-BE49-F238E27FC236}">
                <a16:creationId xmlns:a16="http://schemas.microsoft.com/office/drawing/2014/main" id="{00000000-0008-0000-0500-000017000000}"/>
              </a:ext>
            </a:extLst>
          </xdr:cNvPr>
          <xdr:cNvGraphicFramePr/>
        </xdr:nvGraphicFramePr>
        <xdr:xfrm>
          <a:off x="9878788" y="4756331"/>
          <a:ext cx="4572000" cy="2700000"/>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24" name="Grupo 23">
            <a:extLst>
              <a:ext uri="{FF2B5EF4-FFF2-40B4-BE49-F238E27FC236}">
                <a16:creationId xmlns:a16="http://schemas.microsoft.com/office/drawing/2014/main" id="{00000000-0008-0000-0500-000018000000}"/>
              </a:ext>
            </a:extLst>
          </xdr:cNvPr>
          <xdr:cNvGrpSpPr/>
        </xdr:nvGrpSpPr>
        <xdr:grpSpPr>
          <a:xfrm>
            <a:off x="9878786" y="3830413"/>
            <a:ext cx="4574721" cy="874884"/>
            <a:chOff x="9878786" y="3830413"/>
            <a:chExt cx="4574721" cy="874884"/>
          </a:xfrm>
        </xdr:grpSpPr>
        <xdr:sp macro="" textlink="">
          <xdr:nvSpPr>
            <xdr:cNvPr id="25" name="Rectángulo 24">
              <a:extLst>
                <a:ext uri="{FF2B5EF4-FFF2-40B4-BE49-F238E27FC236}">
                  <a16:creationId xmlns:a16="http://schemas.microsoft.com/office/drawing/2014/main" id="{00000000-0008-0000-0500-000019000000}"/>
                </a:ext>
              </a:extLst>
            </xdr:cNvPr>
            <xdr:cNvSpPr/>
          </xdr:nvSpPr>
          <xdr:spPr>
            <a:xfrm>
              <a:off x="9878786" y="3830413"/>
              <a:ext cx="3600000" cy="874884"/>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tx1"/>
                  </a:solidFill>
                  <a:latin typeface="Century Gothic" panose="020B0502020202020204" pitchFamily="34" charset="0"/>
                  <a:ea typeface="+mn-ea"/>
                  <a:cs typeface="+mn-cs"/>
                </a:rPr>
                <a:t>PROPORCION DE OPORTUNIDADES DE MEJORA CERRADAS DE LAS AUDITORÍAS CON ENFOQUE DE RIESGOS, ESE METROSALUD, 2019 - 2023</a:t>
              </a:r>
            </a:p>
          </xdr:txBody>
        </xdr:sp>
        <xdr:grpSp>
          <xdr:nvGrpSpPr>
            <xdr:cNvPr id="26" name="Grupo 25">
              <a:extLst>
                <a:ext uri="{FF2B5EF4-FFF2-40B4-BE49-F238E27FC236}">
                  <a16:creationId xmlns:a16="http://schemas.microsoft.com/office/drawing/2014/main" id="{00000000-0008-0000-0500-00001A000000}"/>
                </a:ext>
              </a:extLst>
            </xdr:cNvPr>
            <xdr:cNvGrpSpPr/>
          </xdr:nvGrpSpPr>
          <xdr:grpSpPr>
            <a:xfrm>
              <a:off x="13539107" y="3830413"/>
              <a:ext cx="914400" cy="874884"/>
              <a:chOff x="13539107" y="3830413"/>
              <a:chExt cx="914400" cy="874884"/>
            </a:xfrm>
          </xdr:grpSpPr>
          <xdr:sp macro="" textlink="$P$10">
            <xdr:nvSpPr>
              <xdr:cNvPr id="27" name="Rectángulo 26">
                <a:extLst>
                  <a:ext uri="{FF2B5EF4-FFF2-40B4-BE49-F238E27FC236}">
                    <a16:creationId xmlns:a16="http://schemas.microsoft.com/office/drawing/2014/main" id="{00000000-0008-0000-0500-00001B000000}"/>
                  </a:ext>
                </a:extLst>
              </xdr:cNvPr>
              <xdr:cNvSpPr/>
            </xdr:nvSpPr>
            <xdr:spPr>
              <a:xfrm>
                <a:off x="13539107" y="3830413"/>
                <a:ext cx="9144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5008423-0C0D-41A7-9CCA-00A46E820B2B}" type="TxLink">
                  <a:rPr lang="en-US" sz="1800" b="1" i="0" u="none" strike="noStrike">
                    <a:solidFill>
                      <a:schemeClr val="tx1">
                        <a:lumMod val="95000"/>
                        <a:lumOff val="5000"/>
                      </a:schemeClr>
                    </a:solidFill>
                    <a:latin typeface="Century Gothic"/>
                    <a:ea typeface="+mn-ea"/>
                    <a:cs typeface="+mn-cs"/>
                  </a:rPr>
                  <a:pPr marL="0" indent="0" algn="ctr"/>
                  <a:t>10,3%</a:t>
                </a:fld>
                <a:endParaRPr lang="es-CO" sz="1800" b="1" i="0" u="none" strike="noStrike">
                  <a:solidFill>
                    <a:schemeClr val="tx1">
                      <a:lumMod val="95000"/>
                      <a:lumOff val="5000"/>
                    </a:schemeClr>
                  </a:solidFill>
                  <a:latin typeface="Century Gothic"/>
                  <a:ea typeface="+mn-ea"/>
                  <a:cs typeface="+mn-cs"/>
                </a:endParaRPr>
              </a:p>
            </xdr:txBody>
          </xdr:sp>
          <xdr:grpSp>
            <xdr:nvGrpSpPr>
              <xdr:cNvPr id="28" name="Grupo 27">
                <a:extLst>
                  <a:ext uri="{FF2B5EF4-FFF2-40B4-BE49-F238E27FC236}">
                    <a16:creationId xmlns:a16="http://schemas.microsoft.com/office/drawing/2014/main" id="{00000000-0008-0000-0500-00001C000000}"/>
                  </a:ext>
                </a:extLst>
              </xdr:cNvPr>
              <xdr:cNvGrpSpPr/>
            </xdr:nvGrpSpPr>
            <xdr:grpSpPr>
              <a:xfrm>
                <a:off x="13599919" y="4390445"/>
                <a:ext cx="843231" cy="311125"/>
                <a:chOff x="2436619" y="8317142"/>
                <a:chExt cx="843231" cy="311125"/>
              </a:xfrm>
            </xdr:grpSpPr>
            <xdr:sp macro="" textlink="$K$10">
              <xdr:nvSpPr>
                <xdr:cNvPr id="29" name="Rectángulo 28">
                  <a:extLst>
                    <a:ext uri="{FF2B5EF4-FFF2-40B4-BE49-F238E27FC236}">
                      <a16:creationId xmlns:a16="http://schemas.microsoft.com/office/drawing/2014/main" id="{00000000-0008-0000-0500-00001D000000}"/>
                    </a:ext>
                  </a:extLst>
                </xdr:cNvPr>
                <xdr:cNvSpPr/>
              </xdr:nvSpPr>
              <xdr:spPr>
                <a:xfrm>
                  <a:off x="2436619" y="8340345"/>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1BBE2C4-875E-4D08-BFC7-B167E2D310E7}" type="TxLink">
                    <a:rPr lang="en-US" sz="1100" b="1" i="0" u="none" strike="noStrike">
                      <a:solidFill>
                        <a:srgbClr val="000000"/>
                      </a:solidFill>
                      <a:latin typeface="Century Gothic"/>
                    </a:rPr>
                    <a:pPr algn="ctr"/>
                    <a:t>41</a:t>
                  </a:fld>
                  <a:endParaRPr lang="es-CO" sz="900">
                    <a:solidFill>
                      <a:schemeClr val="tx1">
                        <a:lumMod val="95000"/>
                        <a:lumOff val="5000"/>
                      </a:schemeClr>
                    </a:solidFill>
                  </a:endParaRPr>
                </a:p>
              </xdr:txBody>
            </xdr:sp>
            <xdr:sp macro="" textlink="">
              <xdr:nvSpPr>
                <xdr:cNvPr id="30" name="CuadroTexto 29">
                  <a:extLst>
                    <a:ext uri="{FF2B5EF4-FFF2-40B4-BE49-F238E27FC236}">
                      <a16:creationId xmlns:a16="http://schemas.microsoft.com/office/drawing/2014/main" id="{00000000-0008-0000-0500-00001E000000}"/>
                    </a:ext>
                  </a:extLst>
                </xdr:cNvPr>
                <xdr:cNvSpPr txBox="1"/>
              </xdr:nvSpPr>
              <xdr:spPr>
                <a:xfrm>
                  <a:off x="2449285" y="8317142"/>
                  <a:ext cx="771484" cy="27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chemeClr val="tx1">
                          <a:lumMod val="95000"/>
                          <a:lumOff val="5000"/>
                        </a:schemeClr>
                      </a:solidFill>
                      <a:latin typeface="Century Gothic" panose="020B0502020202020204" pitchFamily="34" charset="0"/>
                    </a:rPr>
                    <a:t>(</a:t>
                  </a:r>
                  <a:r>
                    <a:rPr lang="es-CO" sz="1100" baseline="0">
                      <a:solidFill>
                        <a:schemeClr val="tx1">
                          <a:lumMod val="95000"/>
                          <a:lumOff val="5000"/>
                        </a:schemeClr>
                      </a:solidFill>
                      <a:latin typeface="Century Gothic" panose="020B0502020202020204" pitchFamily="34" charset="0"/>
                    </a:rPr>
                    <a:t>        /        </a:t>
                  </a:r>
                  <a:r>
                    <a:rPr lang="es-CO" sz="1100">
                      <a:solidFill>
                        <a:schemeClr val="tx1">
                          <a:lumMod val="95000"/>
                          <a:lumOff val="5000"/>
                        </a:schemeClr>
                      </a:solidFill>
                      <a:latin typeface="Century Gothic" panose="020B0502020202020204" pitchFamily="34" charset="0"/>
                    </a:rPr>
                    <a:t>)</a:t>
                  </a:r>
                </a:p>
              </xdr:txBody>
            </xdr:sp>
            <xdr:sp macro="" textlink="$E$10">
              <xdr:nvSpPr>
                <xdr:cNvPr id="31" name="Rectángulo 30">
                  <a:extLst>
                    <a:ext uri="{FF2B5EF4-FFF2-40B4-BE49-F238E27FC236}">
                      <a16:creationId xmlns:a16="http://schemas.microsoft.com/office/drawing/2014/main" id="{00000000-0008-0000-0500-00001F000000}"/>
                    </a:ext>
                  </a:extLst>
                </xdr:cNvPr>
                <xdr:cNvSpPr/>
              </xdr:nvSpPr>
              <xdr:spPr>
                <a:xfrm>
                  <a:off x="2739850" y="8340345"/>
                  <a:ext cx="540000"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7448D4E-B1E3-45EC-806F-C9AA97C7B768}" type="TxLink">
                    <a:rPr lang="en-US" sz="1100" b="1" i="0" u="none" strike="noStrike">
                      <a:solidFill>
                        <a:srgbClr val="000000"/>
                      </a:solidFill>
                      <a:latin typeface="Century Gothic"/>
                    </a:rPr>
                    <a:pPr algn="ctr"/>
                    <a:t>399</a:t>
                  </a:fld>
                  <a:endParaRPr lang="es-CO" sz="900">
                    <a:solidFill>
                      <a:schemeClr val="tx1">
                        <a:lumMod val="95000"/>
                        <a:lumOff val="5000"/>
                      </a:schemeClr>
                    </a:solidFill>
                  </a:endParaRPr>
                </a:p>
              </xdr:txBody>
            </xdr:sp>
          </xdr:grpSp>
        </xdr:grpSp>
      </xdr:grp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68033</xdr:colOff>
      <xdr:row>11</xdr:row>
      <xdr:rowOff>74842</xdr:rowOff>
    </xdr:from>
    <xdr:to>
      <xdr:col>4</xdr:col>
      <xdr:colOff>1064076</xdr:colOff>
      <xdr:row>29</xdr:row>
      <xdr:rowOff>26831</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136069" y="3830413"/>
          <a:ext cx="4656364" cy="3625918"/>
          <a:chOff x="136069" y="3830413"/>
          <a:chExt cx="4574721" cy="3625918"/>
        </a:xfrm>
      </xdr:grpSpPr>
      <xdr:graphicFrame macro="">
        <xdr:nvGraphicFramePr>
          <xdr:cNvPr id="3" name="Gráfico 2">
            <a:extLst>
              <a:ext uri="{FF2B5EF4-FFF2-40B4-BE49-F238E27FC236}">
                <a16:creationId xmlns:a16="http://schemas.microsoft.com/office/drawing/2014/main" id="{00000000-0008-0000-0600-000003000000}"/>
              </a:ext>
            </a:extLst>
          </xdr:cNvPr>
          <xdr:cNvGraphicFramePr/>
        </xdr:nvGraphicFramePr>
        <xdr:xfrm>
          <a:off x="136071" y="4756331"/>
          <a:ext cx="4572000" cy="27000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Grupo 3">
            <a:extLst>
              <a:ext uri="{FF2B5EF4-FFF2-40B4-BE49-F238E27FC236}">
                <a16:creationId xmlns:a16="http://schemas.microsoft.com/office/drawing/2014/main" id="{00000000-0008-0000-0600-000004000000}"/>
              </a:ext>
            </a:extLst>
          </xdr:cNvPr>
          <xdr:cNvGrpSpPr/>
        </xdr:nvGrpSpPr>
        <xdr:grpSpPr>
          <a:xfrm>
            <a:off x="136069" y="3830413"/>
            <a:ext cx="4574721" cy="874884"/>
            <a:chOff x="136069" y="3830413"/>
            <a:chExt cx="4574721" cy="874884"/>
          </a:xfrm>
        </xdr:grpSpPr>
        <xdr:sp macro="" textlink="">
          <xdr:nvSpPr>
            <xdr:cNvPr id="5" name="Rectángulo 4">
              <a:extLst>
                <a:ext uri="{FF2B5EF4-FFF2-40B4-BE49-F238E27FC236}">
                  <a16:creationId xmlns:a16="http://schemas.microsoft.com/office/drawing/2014/main" id="{00000000-0008-0000-0600-000005000000}"/>
                </a:ext>
              </a:extLst>
            </xdr:cNvPr>
            <xdr:cNvSpPr/>
          </xdr:nvSpPr>
          <xdr:spPr>
            <a:xfrm>
              <a:off x="136069" y="3830413"/>
              <a:ext cx="3600000" cy="874884"/>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solidFill>
                    <a:schemeClr val="tx1"/>
                  </a:solidFill>
                  <a:latin typeface="Century Gothic" panose="020B0502020202020204" pitchFamily="34" charset="0"/>
                </a:rPr>
                <a:t>PROPORCION DE AUDITORÍAS CON ENFOQUE EN RIESGOS CON PLAN DE MEJORA, ESE METROSALUD, 2019 - 2023</a:t>
              </a:r>
            </a:p>
          </xdr:txBody>
        </xdr:sp>
        <xdr:grpSp>
          <xdr:nvGrpSpPr>
            <xdr:cNvPr id="6" name="Grupo 5">
              <a:extLst>
                <a:ext uri="{FF2B5EF4-FFF2-40B4-BE49-F238E27FC236}">
                  <a16:creationId xmlns:a16="http://schemas.microsoft.com/office/drawing/2014/main" id="{00000000-0008-0000-0600-000006000000}"/>
                </a:ext>
              </a:extLst>
            </xdr:cNvPr>
            <xdr:cNvGrpSpPr/>
          </xdr:nvGrpSpPr>
          <xdr:grpSpPr>
            <a:xfrm>
              <a:off x="3796390" y="3830413"/>
              <a:ext cx="914400" cy="874884"/>
              <a:chOff x="3796390" y="3830413"/>
              <a:chExt cx="914400" cy="874884"/>
            </a:xfrm>
          </xdr:grpSpPr>
          <xdr:sp macro="" textlink="$L$10">
            <xdr:nvSpPr>
              <xdr:cNvPr id="7" name="Rectángulo 6">
                <a:extLst>
                  <a:ext uri="{FF2B5EF4-FFF2-40B4-BE49-F238E27FC236}">
                    <a16:creationId xmlns:a16="http://schemas.microsoft.com/office/drawing/2014/main" id="{00000000-0008-0000-0600-000007000000}"/>
                  </a:ext>
                </a:extLst>
              </xdr:cNvPr>
              <xdr:cNvSpPr/>
            </xdr:nvSpPr>
            <xdr:spPr>
              <a:xfrm>
                <a:off x="3796390" y="3830413"/>
                <a:ext cx="9144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E7A09B0-BC52-4372-984B-E632E7B197BB}" type="TxLink">
                  <a:rPr lang="en-US" sz="1800" b="1" i="0" u="none" strike="noStrike">
                    <a:solidFill>
                      <a:schemeClr val="tx1">
                        <a:lumMod val="95000"/>
                        <a:lumOff val="5000"/>
                      </a:schemeClr>
                    </a:solidFill>
                    <a:latin typeface="Century Gothic"/>
                  </a:rPr>
                  <a:pPr algn="ctr"/>
                  <a:t>45,8%</a:t>
                </a:fld>
                <a:endParaRPr lang="es-CO" sz="1800">
                  <a:solidFill>
                    <a:schemeClr val="tx1">
                      <a:lumMod val="95000"/>
                      <a:lumOff val="5000"/>
                    </a:schemeClr>
                  </a:solidFill>
                </a:endParaRPr>
              </a:p>
            </xdr:txBody>
          </xdr:sp>
          <xdr:grpSp>
            <xdr:nvGrpSpPr>
              <xdr:cNvPr id="8" name="Grupo 7">
                <a:extLst>
                  <a:ext uri="{FF2B5EF4-FFF2-40B4-BE49-F238E27FC236}">
                    <a16:creationId xmlns:a16="http://schemas.microsoft.com/office/drawing/2014/main" id="{00000000-0008-0000-0600-000008000000}"/>
                  </a:ext>
                </a:extLst>
              </xdr:cNvPr>
              <xdr:cNvGrpSpPr/>
            </xdr:nvGrpSpPr>
            <xdr:grpSpPr>
              <a:xfrm>
                <a:off x="3864428" y="4390445"/>
                <a:ext cx="771484" cy="311125"/>
                <a:chOff x="2394857" y="8203485"/>
                <a:chExt cx="771484" cy="311125"/>
              </a:xfrm>
            </xdr:grpSpPr>
            <xdr:sp macro="" textlink="$D$10">
              <xdr:nvSpPr>
                <xdr:cNvPr id="9" name="Rectángulo 8">
                  <a:extLst>
                    <a:ext uri="{FF2B5EF4-FFF2-40B4-BE49-F238E27FC236}">
                      <a16:creationId xmlns:a16="http://schemas.microsoft.com/office/drawing/2014/main" id="{00000000-0008-0000-0600-000009000000}"/>
                    </a:ext>
                  </a:extLst>
                </xdr:cNvPr>
                <xdr:cNvSpPr/>
              </xdr:nvSpPr>
              <xdr:spPr>
                <a:xfrm>
                  <a:off x="2423012" y="8226688"/>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4DF38C-8B3C-4212-9785-1EBEB69ABF91}" type="TxLink">
                    <a:rPr lang="en-US" sz="1100" b="1" i="0" u="none" strike="noStrike">
                      <a:solidFill>
                        <a:schemeClr val="tx1">
                          <a:lumMod val="95000"/>
                          <a:lumOff val="5000"/>
                        </a:schemeClr>
                      </a:solidFill>
                      <a:latin typeface="Century Gothic"/>
                    </a:rPr>
                    <a:pPr algn="ctr"/>
                    <a:t>38</a:t>
                  </a:fld>
                  <a:endParaRPr lang="es-CO" sz="1050">
                    <a:solidFill>
                      <a:schemeClr val="tx1">
                        <a:lumMod val="95000"/>
                        <a:lumOff val="5000"/>
                      </a:schemeClr>
                    </a:solidFill>
                  </a:endParaRPr>
                </a:p>
              </xdr:txBody>
            </xdr:sp>
            <xdr:sp macro="" textlink="">
              <xdr:nvSpPr>
                <xdr:cNvPr id="10" name="CuadroTexto 9">
                  <a:extLst>
                    <a:ext uri="{FF2B5EF4-FFF2-40B4-BE49-F238E27FC236}">
                      <a16:creationId xmlns:a16="http://schemas.microsoft.com/office/drawing/2014/main" id="{00000000-0008-0000-0600-00000A000000}"/>
                    </a:ext>
                  </a:extLst>
                </xdr:cNvPr>
                <xdr:cNvSpPr txBox="1"/>
              </xdr:nvSpPr>
              <xdr:spPr>
                <a:xfrm>
                  <a:off x="2394857" y="8203485"/>
                  <a:ext cx="771484" cy="27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latin typeface="Century Gothic" panose="020B0502020202020204" pitchFamily="34" charset="0"/>
                    </a:rPr>
                    <a:t>(</a:t>
                  </a:r>
                  <a:r>
                    <a:rPr lang="es-CO" sz="1100" baseline="0">
                      <a:latin typeface="Century Gothic" panose="020B0502020202020204" pitchFamily="34" charset="0"/>
                    </a:rPr>
                    <a:t>      /      </a:t>
                  </a:r>
                  <a:r>
                    <a:rPr lang="es-CO" sz="1100">
                      <a:latin typeface="Century Gothic" panose="020B0502020202020204" pitchFamily="34" charset="0"/>
                    </a:rPr>
                    <a:t>)</a:t>
                  </a:r>
                </a:p>
              </xdr:txBody>
            </xdr:sp>
            <xdr:sp macro="" textlink="$C$10">
              <xdr:nvSpPr>
                <xdr:cNvPr id="11" name="Rectángulo 10">
                  <a:extLst>
                    <a:ext uri="{FF2B5EF4-FFF2-40B4-BE49-F238E27FC236}">
                      <a16:creationId xmlns:a16="http://schemas.microsoft.com/office/drawing/2014/main" id="{00000000-0008-0000-0600-00000B000000}"/>
                    </a:ext>
                  </a:extLst>
                </xdr:cNvPr>
                <xdr:cNvSpPr/>
              </xdr:nvSpPr>
              <xdr:spPr>
                <a:xfrm>
                  <a:off x="2712636" y="8226688"/>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F3F9DFD-AAC4-4DB5-A366-06128AB66815}" type="TxLink">
                    <a:rPr lang="en-US" sz="1100" b="1" i="0" u="none" strike="noStrike">
                      <a:solidFill>
                        <a:schemeClr val="tx1">
                          <a:lumMod val="95000"/>
                          <a:lumOff val="5000"/>
                        </a:schemeClr>
                      </a:solidFill>
                      <a:latin typeface="Century Gothic"/>
                    </a:rPr>
                    <a:pPr algn="ctr"/>
                    <a:t>83</a:t>
                  </a:fld>
                  <a:endParaRPr lang="es-CO" sz="1050">
                    <a:solidFill>
                      <a:schemeClr val="tx1">
                        <a:lumMod val="95000"/>
                        <a:lumOff val="5000"/>
                      </a:schemeClr>
                    </a:solidFill>
                  </a:endParaRPr>
                </a:p>
              </xdr:txBody>
            </xdr:sp>
          </xdr:grpSp>
        </xdr:grpSp>
      </xdr:grpSp>
    </xdr:grpSp>
    <xdr:clientData/>
  </xdr:twoCellAnchor>
  <xdr:twoCellAnchor editAs="absolute">
    <xdr:from>
      <xdr:col>4</xdr:col>
      <xdr:colOff>1360714</xdr:colOff>
      <xdr:row>11</xdr:row>
      <xdr:rowOff>74842</xdr:rowOff>
    </xdr:from>
    <xdr:to>
      <xdr:col>9</xdr:col>
      <xdr:colOff>84363</xdr:colOff>
      <xdr:row>29</xdr:row>
      <xdr:rowOff>26831</xdr:rowOff>
    </xdr:to>
    <xdr:grpSp>
      <xdr:nvGrpSpPr>
        <xdr:cNvPr id="12" name="Grupo 11">
          <a:extLst>
            <a:ext uri="{FF2B5EF4-FFF2-40B4-BE49-F238E27FC236}">
              <a16:creationId xmlns:a16="http://schemas.microsoft.com/office/drawing/2014/main" id="{00000000-0008-0000-0600-00000C000000}"/>
            </a:ext>
          </a:extLst>
        </xdr:cNvPr>
        <xdr:cNvGrpSpPr/>
      </xdr:nvGrpSpPr>
      <xdr:grpSpPr>
        <a:xfrm>
          <a:off x="5089071" y="3830413"/>
          <a:ext cx="4574721" cy="3625918"/>
          <a:chOff x="5007428" y="3830413"/>
          <a:chExt cx="4574721" cy="3625918"/>
        </a:xfrm>
      </xdr:grpSpPr>
      <xdr:graphicFrame macro="">
        <xdr:nvGraphicFramePr>
          <xdr:cNvPr id="13" name="Gráfico 12">
            <a:extLst>
              <a:ext uri="{FF2B5EF4-FFF2-40B4-BE49-F238E27FC236}">
                <a16:creationId xmlns:a16="http://schemas.microsoft.com/office/drawing/2014/main" id="{00000000-0008-0000-0600-00000D000000}"/>
              </a:ext>
            </a:extLst>
          </xdr:cNvPr>
          <xdr:cNvGraphicFramePr/>
        </xdr:nvGraphicFramePr>
        <xdr:xfrm>
          <a:off x="5007430" y="4756331"/>
          <a:ext cx="4572000" cy="270000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4" name="Grupo 13">
            <a:extLst>
              <a:ext uri="{FF2B5EF4-FFF2-40B4-BE49-F238E27FC236}">
                <a16:creationId xmlns:a16="http://schemas.microsoft.com/office/drawing/2014/main" id="{00000000-0008-0000-0600-00000E000000}"/>
              </a:ext>
            </a:extLst>
          </xdr:cNvPr>
          <xdr:cNvGrpSpPr/>
        </xdr:nvGrpSpPr>
        <xdr:grpSpPr>
          <a:xfrm>
            <a:off x="5007428" y="3830413"/>
            <a:ext cx="4574721" cy="874884"/>
            <a:chOff x="5007428" y="3830413"/>
            <a:chExt cx="4574721" cy="874884"/>
          </a:xfrm>
        </xdr:grpSpPr>
        <xdr:sp macro="" textlink="">
          <xdr:nvSpPr>
            <xdr:cNvPr id="15" name="Rectángulo 14">
              <a:extLst>
                <a:ext uri="{FF2B5EF4-FFF2-40B4-BE49-F238E27FC236}">
                  <a16:creationId xmlns:a16="http://schemas.microsoft.com/office/drawing/2014/main" id="{00000000-0008-0000-0600-00000F000000}"/>
                </a:ext>
              </a:extLst>
            </xdr:cNvPr>
            <xdr:cNvSpPr/>
          </xdr:nvSpPr>
          <xdr:spPr>
            <a:xfrm>
              <a:off x="5007428" y="3830413"/>
              <a:ext cx="3600000" cy="874884"/>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tx1"/>
                  </a:solidFill>
                  <a:latin typeface="Century Gothic" panose="020B0502020202020204" pitchFamily="34" charset="0"/>
                  <a:ea typeface="+mn-ea"/>
                  <a:cs typeface="+mn-cs"/>
                </a:rPr>
                <a:t>PROPORCION DE ACCIONES DE MEJORA CUMPLIDAS DE</a:t>
              </a:r>
              <a:r>
                <a:rPr lang="es-CO" sz="1100" b="1" baseline="0">
                  <a:solidFill>
                    <a:schemeClr val="tx1"/>
                  </a:solidFill>
                  <a:latin typeface="Century Gothic" panose="020B0502020202020204" pitchFamily="34" charset="0"/>
                  <a:ea typeface="+mn-ea"/>
                  <a:cs typeface="+mn-cs"/>
                </a:rPr>
                <a:t> LAS </a:t>
              </a:r>
              <a:r>
                <a:rPr lang="es-CO" sz="1100" b="1">
                  <a:solidFill>
                    <a:schemeClr val="tx1"/>
                  </a:solidFill>
                  <a:latin typeface="Century Gothic" panose="020B0502020202020204" pitchFamily="34" charset="0"/>
                  <a:ea typeface="+mn-ea"/>
                  <a:cs typeface="+mn-cs"/>
                </a:rPr>
                <a:t>AUDITORÍAS CON ENFOQUE EN RIESGOS, ESE METROSALUD, 2019 - 2023</a:t>
              </a:r>
            </a:p>
          </xdr:txBody>
        </xdr:sp>
        <xdr:grpSp>
          <xdr:nvGrpSpPr>
            <xdr:cNvPr id="16" name="Grupo 15">
              <a:extLst>
                <a:ext uri="{FF2B5EF4-FFF2-40B4-BE49-F238E27FC236}">
                  <a16:creationId xmlns:a16="http://schemas.microsoft.com/office/drawing/2014/main" id="{00000000-0008-0000-0600-000010000000}"/>
                </a:ext>
              </a:extLst>
            </xdr:cNvPr>
            <xdr:cNvGrpSpPr/>
          </xdr:nvGrpSpPr>
          <xdr:grpSpPr>
            <a:xfrm>
              <a:off x="8667749" y="3830413"/>
              <a:ext cx="914400" cy="874884"/>
              <a:chOff x="8667749" y="3830413"/>
              <a:chExt cx="914400" cy="874884"/>
            </a:xfrm>
          </xdr:grpSpPr>
          <xdr:sp macro="" textlink="$M$10">
            <xdr:nvSpPr>
              <xdr:cNvPr id="17" name="Rectángulo 16">
                <a:extLst>
                  <a:ext uri="{FF2B5EF4-FFF2-40B4-BE49-F238E27FC236}">
                    <a16:creationId xmlns:a16="http://schemas.microsoft.com/office/drawing/2014/main" id="{00000000-0008-0000-0600-000011000000}"/>
                  </a:ext>
                </a:extLst>
              </xdr:cNvPr>
              <xdr:cNvSpPr/>
            </xdr:nvSpPr>
            <xdr:spPr>
              <a:xfrm>
                <a:off x="8667749" y="3830413"/>
                <a:ext cx="9144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4F3974D-1070-4EA2-8002-7AB5EEC5B8EB}" type="TxLink">
                  <a:rPr lang="en-US" sz="1800" b="1" i="0" u="none" strike="noStrike">
                    <a:solidFill>
                      <a:schemeClr val="tx1">
                        <a:lumMod val="95000"/>
                        <a:lumOff val="5000"/>
                      </a:schemeClr>
                    </a:solidFill>
                    <a:latin typeface="Century Gothic"/>
                    <a:ea typeface="+mn-ea"/>
                    <a:cs typeface="+mn-cs"/>
                  </a:rPr>
                  <a:pPr marL="0" indent="0" algn="ctr"/>
                  <a:t>29,5%</a:t>
                </a:fld>
                <a:endParaRPr lang="es-CO" sz="1800" b="1" i="0" u="none" strike="noStrike">
                  <a:solidFill>
                    <a:schemeClr val="tx1">
                      <a:lumMod val="95000"/>
                      <a:lumOff val="5000"/>
                    </a:schemeClr>
                  </a:solidFill>
                  <a:latin typeface="Century Gothic"/>
                  <a:ea typeface="+mn-ea"/>
                  <a:cs typeface="+mn-cs"/>
                </a:endParaRPr>
              </a:p>
            </xdr:txBody>
          </xdr:sp>
          <xdr:grpSp>
            <xdr:nvGrpSpPr>
              <xdr:cNvPr id="18" name="Grupo 17">
                <a:extLst>
                  <a:ext uri="{FF2B5EF4-FFF2-40B4-BE49-F238E27FC236}">
                    <a16:creationId xmlns:a16="http://schemas.microsoft.com/office/drawing/2014/main" id="{00000000-0008-0000-0600-000012000000}"/>
                  </a:ext>
                </a:extLst>
              </xdr:cNvPr>
              <xdr:cNvGrpSpPr/>
            </xdr:nvGrpSpPr>
            <xdr:grpSpPr>
              <a:xfrm>
                <a:off x="8712233" y="4390445"/>
                <a:ext cx="843231" cy="311125"/>
                <a:chOff x="2436619" y="8357964"/>
                <a:chExt cx="843231" cy="311125"/>
              </a:xfrm>
            </xdr:grpSpPr>
            <xdr:sp macro="" textlink="$G$10">
              <xdr:nvSpPr>
                <xdr:cNvPr id="19" name="Rectángulo 18">
                  <a:extLst>
                    <a:ext uri="{FF2B5EF4-FFF2-40B4-BE49-F238E27FC236}">
                      <a16:creationId xmlns:a16="http://schemas.microsoft.com/office/drawing/2014/main" id="{00000000-0008-0000-0600-000013000000}"/>
                    </a:ext>
                  </a:extLst>
                </xdr:cNvPr>
                <xdr:cNvSpPr/>
              </xdr:nvSpPr>
              <xdr:spPr>
                <a:xfrm>
                  <a:off x="2436619" y="8381167"/>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050781B-56AE-4494-9B43-9B10B3303D74}" type="TxLink">
                    <a:rPr lang="en-US" sz="1100" b="1" i="0" u="none" strike="noStrike">
                      <a:solidFill>
                        <a:schemeClr val="tx1">
                          <a:lumMod val="95000"/>
                          <a:lumOff val="5000"/>
                        </a:schemeClr>
                      </a:solidFill>
                      <a:latin typeface="Century Gothic"/>
                    </a:rPr>
                    <a:pPr algn="ctr"/>
                    <a:t>72</a:t>
                  </a:fld>
                  <a:endParaRPr lang="es-CO" sz="1000">
                    <a:solidFill>
                      <a:schemeClr val="tx1">
                        <a:lumMod val="95000"/>
                        <a:lumOff val="5000"/>
                      </a:schemeClr>
                    </a:solidFill>
                  </a:endParaRPr>
                </a:p>
              </xdr:txBody>
            </xdr:sp>
            <xdr:sp macro="" textlink="">
              <xdr:nvSpPr>
                <xdr:cNvPr id="20" name="CuadroTexto 19">
                  <a:extLst>
                    <a:ext uri="{FF2B5EF4-FFF2-40B4-BE49-F238E27FC236}">
                      <a16:creationId xmlns:a16="http://schemas.microsoft.com/office/drawing/2014/main" id="{00000000-0008-0000-0600-000014000000}"/>
                    </a:ext>
                  </a:extLst>
                </xdr:cNvPr>
                <xdr:cNvSpPr txBox="1"/>
              </xdr:nvSpPr>
              <xdr:spPr>
                <a:xfrm>
                  <a:off x="2449285" y="8357964"/>
                  <a:ext cx="771484" cy="27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chemeClr val="tx1">
                          <a:lumMod val="95000"/>
                          <a:lumOff val="5000"/>
                        </a:schemeClr>
                      </a:solidFill>
                      <a:latin typeface="Century Gothic" panose="020B0502020202020204" pitchFamily="34" charset="0"/>
                    </a:rPr>
                    <a:t>(</a:t>
                  </a:r>
                  <a:r>
                    <a:rPr lang="es-CO" sz="1100" baseline="0">
                      <a:solidFill>
                        <a:schemeClr val="tx1">
                          <a:lumMod val="95000"/>
                          <a:lumOff val="5000"/>
                        </a:schemeClr>
                      </a:solidFill>
                      <a:latin typeface="Century Gothic" panose="020B0502020202020204" pitchFamily="34" charset="0"/>
                    </a:rPr>
                    <a:t>        /        </a:t>
                  </a:r>
                  <a:r>
                    <a:rPr lang="es-CO" sz="1100">
                      <a:solidFill>
                        <a:schemeClr val="tx1">
                          <a:lumMod val="95000"/>
                          <a:lumOff val="5000"/>
                        </a:schemeClr>
                      </a:solidFill>
                      <a:latin typeface="Century Gothic" panose="020B0502020202020204" pitchFamily="34" charset="0"/>
                    </a:rPr>
                    <a:t>)</a:t>
                  </a:r>
                </a:p>
              </xdr:txBody>
            </xdr:sp>
            <xdr:sp macro="" textlink="$F$10">
              <xdr:nvSpPr>
                <xdr:cNvPr id="21" name="Rectángulo 20">
                  <a:extLst>
                    <a:ext uri="{FF2B5EF4-FFF2-40B4-BE49-F238E27FC236}">
                      <a16:creationId xmlns:a16="http://schemas.microsoft.com/office/drawing/2014/main" id="{00000000-0008-0000-0600-000015000000}"/>
                    </a:ext>
                  </a:extLst>
                </xdr:cNvPr>
                <xdr:cNvSpPr/>
              </xdr:nvSpPr>
              <xdr:spPr>
                <a:xfrm>
                  <a:off x="2739850" y="8381167"/>
                  <a:ext cx="540000"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92BB31-1226-4BE0-BC1B-7020B09DF18E}" type="TxLink">
                    <a:rPr lang="en-US" sz="1100" b="1" i="0" u="none" strike="noStrike">
                      <a:solidFill>
                        <a:schemeClr val="tx1">
                          <a:lumMod val="95000"/>
                          <a:lumOff val="5000"/>
                        </a:schemeClr>
                      </a:solidFill>
                      <a:latin typeface="Century Gothic"/>
                    </a:rPr>
                    <a:pPr algn="ctr"/>
                    <a:t>350</a:t>
                  </a:fld>
                  <a:endParaRPr lang="es-CO" sz="1000">
                    <a:solidFill>
                      <a:schemeClr val="tx1">
                        <a:lumMod val="95000"/>
                        <a:lumOff val="5000"/>
                      </a:schemeClr>
                    </a:solidFill>
                  </a:endParaRPr>
                </a:p>
              </xdr:txBody>
            </xdr:sp>
          </xdr:grpSp>
        </xdr:grpSp>
      </xdr:grpSp>
    </xdr:grpSp>
    <xdr:clientData/>
  </xdr:twoCellAnchor>
  <xdr:twoCellAnchor editAs="absolute">
    <xdr:from>
      <xdr:col>9</xdr:col>
      <xdr:colOff>381000</xdr:colOff>
      <xdr:row>11</xdr:row>
      <xdr:rowOff>74842</xdr:rowOff>
    </xdr:from>
    <xdr:to>
      <xdr:col>12</xdr:col>
      <xdr:colOff>1213757</xdr:colOff>
      <xdr:row>29</xdr:row>
      <xdr:rowOff>26831</xdr:rowOff>
    </xdr:to>
    <xdr:grpSp>
      <xdr:nvGrpSpPr>
        <xdr:cNvPr id="22" name="Grupo 21">
          <a:extLst>
            <a:ext uri="{FF2B5EF4-FFF2-40B4-BE49-F238E27FC236}">
              <a16:creationId xmlns:a16="http://schemas.microsoft.com/office/drawing/2014/main" id="{00000000-0008-0000-0600-000016000000}"/>
            </a:ext>
          </a:extLst>
        </xdr:cNvPr>
        <xdr:cNvGrpSpPr/>
      </xdr:nvGrpSpPr>
      <xdr:grpSpPr>
        <a:xfrm>
          <a:off x="9960429" y="3830413"/>
          <a:ext cx="4574721" cy="3625918"/>
          <a:chOff x="9878786" y="3830413"/>
          <a:chExt cx="4574721" cy="3625918"/>
        </a:xfrm>
      </xdr:grpSpPr>
      <xdr:graphicFrame macro="">
        <xdr:nvGraphicFramePr>
          <xdr:cNvPr id="23" name="Gráfico 22">
            <a:extLst>
              <a:ext uri="{FF2B5EF4-FFF2-40B4-BE49-F238E27FC236}">
                <a16:creationId xmlns:a16="http://schemas.microsoft.com/office/drawing/2014/main" id="{00000000-0008-0000-0600-000017000000}"/>
              </a:ext>
            </a:extLst>
          </xdr:cNvPr>
          <xdr:cNvGraphicFramePr/>
        </xdr:nvGraphicFramePr>
        <xdr:xfrm>
          <a:off x="9878788" y="4756331"/>
          <a:ext cx="4572000" cy="2700000"/>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24" name="Grupo 23">
            <a:extLst>
              <a:ext uri="{FF2B5EF4-FFF2-40B4-BE49-F238E27FC236}">
                <a16:creationId xmlns:a16="http://schemas.microsoft.com/office/drawing/2014/main" id="{00000000-0008-0000-0600-000018000000}"/>
              </a:ext>
            </a:extLst>
          </xdr:cNvPr>
          <xdr:cNvGrpSpPr/>
        </xdr:nvGrpSpPr>
        <xdr:grpSpPr>
          <a:xfrm>
            <a:off x="9878786" y="3830413"/>
            <a:ext cx="4574721" cy="874884"/>
            <a:chOff x="9878786" y="3830413"/>
            <a:chExt cx="4574721" cy="874884"/>
          </a:xfrm>
        </xdr:grpSpPr>
        <xdr:sp macro="" textlink="">
          <xdr:nvSpPr>
            <xdr:cNvPr id="25" name="Rectángulo 24">
              <a:extLst>
                <a:ext uri="{FF2B5EF4-FFF2-40B4-BE49-F238E27FC236}">
                  <a16:creationId xmlns:a16="http://schemas.microsoft.com/office/drawing/2014/main" id="{00000000-0008-0000-0600-000019000000}"/>
                </a:ext>
              </a:extLst>
            </xdr:cNvPr>
            <xdr:cNvSpPr/>
          </xdr:nvSpPr>
          <xdr:spPr>
            <a:xfrm>
              <a:off x="9878786" y="3830413"/>
              <a:ext cx="3600000" cy="874884"/>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100" b="1">
                  <a:solidFill>
                    <a:schemeClr val="tx1"/>
                  </a:solidFill>
                  <a:latin typeface="Century Gothic" panose="020B0502020202020204" pitchFamily="34" charset="0"/>
                  <a:ea typeface="+mn-ea"/>
                  <a:cs typeface="+mn-cs"/>
                </a:rPr>
                <a:t>PROPORCION DE OPORTUNIDADES DE MEJORA CERRADAS DE LAS AUDITORÍAS CON ENFOQUE EN RIESGOS, ESE METROSALUD, 2019 - 2023</a:t>
              </a:r>
            </a:p>
          </xdr:txBody>
        </xdr:sp>
        <xdr:grpSp>
          <xdr:nvGrpSpPr>
            <xdr:cNvPr id="26" name="Grupo 25">
              <a:extLst>
                <a:ext uri="{FF2B5EF4-FFF2-40B4-BE49-F238E27FC236}">
                  <a16:creationId xmlns:a16="http://schemas.microsoft.com/office/drawing/2014/main" id="{00000000-0008-0000-0600-00001A000000}"/>
                </a:ext>
              </a:extLst>
            </xdr:cNvPr>
            <xdr:cNvGrpSpPr/>
          </xdr:nvGrpSpPr>
          <xdr:grpSpPr>
            <a:xfrm>
              <a:off x="13539107" y="3830413"/>
              <a:ext cx="914400" cy="874884"/>
              <a:chOff x="13539107" y="3830413"/>
              <a:chExt cx="914400" cy="874884"/>
            </a:xfrm>
          </xdr:grpSpPr>
          <xdr:sp macro="" textlink="$P$10">
            <xdr:nvSpPr>
              <xdr:cNvPr id="27" name="Rectángulo 26">
                <a:extLst>
                  <a:ext uri="{FF2B5EF4-FFF2-40B4-BE49-F238E27FC236}">
                    <a16:creationId xmlns:a16="http://schemas.microsoft.com/office/drawing/2014/main" id="{00000000-0008-0000-0600-00001B000000}"/>
                  </a:ext>
                </a:extLst>
              </xdr:cNvPr>
              <xdr:cNvSpPr/>
            </xdr:nvSpPr>
            <xdr:spPr>
              <a:xfrm>
                <a:off x="13539107" y="3830413"/>
                <a:ext cx="9144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5008423-0C0D-41A7-9CCA-00A46E820B2B}" type="TxLink">
                  <a:rPr lang="en-US" sz="1800" b="1" i="0" u="none" strike="noStrike">
                    <a:solidFill>
                      <a:schemeClr val="tx1">
                        <a:lumMod val="95000"/>
                        <a:lumOff val="5000"/>
                      </a:schemeClr>
                    </a:solidFill>
                    <a:latin typeface="Century Gothic"/>
                    <a:ea typeface="+mn-ea"/>
                    <a:cs typeface="+mn-cs"/>
                  </a:rPr>
                  <a:pPr marL="0" indent="0" algn="ctr"/>
                  <a:t>10,1%</a:t>
                </a:fld>
                <a:endParaRPr lang="es-CO" sz="1800" b="1" i="0" u="none" strike="noStrike">
                  <a:solidFill>
                    <a:schemeClr val="tx1">
                      <a:lumMod val="95000"/>
                      <a:lumOff val="5000"/>
                    </a:schemeClr>
                  </a:solidFill>
                  <a:latin typeface="Century Gothic"/>
                  <a:ea typeface="+mn-ea"/>
                  <a:cs typeface="+mn-cs"/>
                </a:endParaRPr>
              </a:p>
            </xdr:txBody>
          </xdr:sp>
          <xdr:grpSp>
            <xdr:nvGrpSpPr>
              <xdr:cNvPr id="28" name="Grupo 27">
                <a:extLst>
                  <a:ext uri="{FF2B5EF4-FFF2-40B4-BE49-F238E27FC236}">
                    <a16:creationId xmlns:a16="http://schemas.microsoft.com/office/drawing/2014/main" id="{00000000-0008-0000-0600-00001C000000}"/>
                  </a:ext>
                </a:extLst>
              </xdr:cNvPr>
              <xdr:cNvGrpSpPr/>
            </xdr:nvGrpSpPr>
            <xdr:grpSpPr>
              <a:xfrm>
                <a:off x="13599919" y="4390445"/>
                <a:ext cx="843231" cy="311125"/>
                <a:chOff x="2436619" y="8317142"/>
                <a:chExt cx="843231" cy="311125"/>
              </a:xfrm>
            </xdr:grpSpPr>
            <xdr:sp macro="" textlink="$K$10">
              <xdr:nvSpPr>
                <xdr:cNvPr id="29" name="Rectángulo 28">
                  <a:extLst>
                    <a:ext uri="{FF2B5EF4-FFF2-40B4-BE49-F238E27FC236}">
                      <a16:creationId xmlns:a16="http://schemas.microsoft.com/office/drawing/2014/main" id="{00000000-0008-0000-0600-00001D000000}"/>
                    </a:ext>
                  </a:extLst>
                </xdr:cNvPr>
                <xdr:cNvSpPr/>
              </xdr:nvSpPr>
              <xdr:spPr>
                <a:xfrm>
                  <a:off x="2436619" y="8340345"/>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1BBE2C4-875E-4D08-BFC7-B167E2D310E7}" type="TxLink">
                    <a:rPr lang="en-US" sz="1100" b="1" i="0" u="none" strike="noStrike">
                      <a:solidFill>
                        <a:srgbClr val="000000"/>
                      </a:solidFill>
                      <a:latin typeface="Century Gothic"/>
                    </a:rPr>
                    <a:pPr algn="ctr"/>
                    <a:t>41</a:t>
                  </a:fld>
                  <a:endParaRPr lang="es-CO" sz="900">
                    <a:solidFill>
                      <a:schemeClr val="tx1">
                        <a:lumMod val="95000"/>
                        <a:lumOff val="5000"/>
                      </a:schemeClr>
                    </a:solidFill>
                  </a:endParaRPr>
                </a:p>
              </xdr:txBody>
            </xdr:sp>
            <xdr:sp macro="" textlink="">
              <xdr:nvSpPr>
                <xdr:cNvPr id="30" name="CuadroTexto 29">
                  <a:extLst>
                    <a:ext uri="{FF2B5EF4-FFF2-40B4-BE49-F238E27FC236}">
                      <a16:creationId xmlns:a16="http://schemas.microsoft.com/office/drawing/2014/main" id="{00000000-0008-0000-0600-00001E000000}"/>
                    </a:ext>
                  </a:extLst>
                </xdr:cNvPr>
                <xdr:cNvSpPr txBox="1"/>
              </xdr:nvSpPr>
              <xdr:spPr>
                <a:xfrm>
                  <a:off x="2449285" y="8317142"/>
                  <a:ext cx="771484" cy="27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chemeClr val="tx1">
                          <a:lumMod val="95000"/>
                          <a:lumOff val="5000"/>
                        </a:schemeClr>
                      </a:solidFill>
                      <a:latin typeface="Century Gothic" panose="020B0502020202020204" pitchFamily="34" charset="0"/>
                    </a:rPr>
                    <a:t>(</a:t>
                  </a:r>
                  <a:r>
                    <a:rPr lang="es-CO" sz="1100" baseline="0">
                      <a:solidFill>
                        <a:schemeClr val="tx1">
                          <a:lumMod val="95000"/>
                          <a:lumOff val="5000"/>
                        </a:schemeClr>
                      </a:solidFill>
                      <a:latin typeface="Century Gothic" panose="020B0502020202020204" pitchFamily="34" charset="0"/>
                    </a:rPr>
                    <a:t>        /        </a:t>
                  </a:r>
                  <a:r>
                    <a:rPr lang="es-CO" sz="1100">
                      <a:solidFill>
                        <a:schemeClr val="tx1">
                          <a:lumMod val="95000"/>
                          <a:lumOff val="5000"/>
                        </a:schemeClr>
                      </a:solidFill>
                      <a:latin typeface="Century Gothic" panose="020B0502020202020204" pitchFamily="34" charset="0"/>
                    </a:rPr>
                    <a:t>)</a:t>
                  </a:r>
                </a:p>
              </xdr:txBody>
            </xdr:sp>
            <xdr:sp macro="" textlink="$E$10">
              <xdr:nvSpPr>
                <xdr:cNvPr id="31" name="Rectángulo 30">
                  <a:extLst>
                    <a:ext uri="{FF2B5EF4-FFF2-40B4-BE49-F238E27FC236}">
                      <a16:creationId xmlns:a16="http://schemas.microsoft.com/office/drawing/2014/main" id="{00000000-0008-0000-0600-00001F000000}"/>
                    </a:ext>
                  </a:extLst>
                </xdr:cNvPr>
                <xdr:cNvSpPr/>
              </xdr:nvSpPr>
              <xdr:spPr>
                <a:xfrm>
                  <a:off x="2739850" y="8340345"/>
                  <a:ext cx="540000"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7448D4E-B1E3-45EC-806F-C9AA97C7B768}" type="TxLink">
                    <a:rPr lang="en-US" sz="1100" b="1" i="0" u="none" strike="noStrike">
                      <a:solidFill>
                        <a:srgbClr val="000000"/>
                      </a:solidFill>
                      <a:latin typeface="Century Gothic"/>
                    </a:rPr>
                    <a:pPr algn="ctr"/>
                    <a:t>404</a:t>
                  </a:fld>
                  <a:endParaRPr lang="es-CO" sz="900">
                    <a:solidFill>
                      <a:schemeClr val="tx1">
                        <a:lumMod val="95000"/>
                        <a:lumOff val="5000"/>
                      </a:schemeClr>
                    </a:solidFill>
                  </a:endParaRPr>
                </a:p>
              </xdr:txBody>
            </xdr:sp>
          </xdr:grpSp>
        </xdr:grpSp>
      </xdr:grp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68033</xdr:colOff>
      <xdr:row>13</xdr:row>
      <xdr:rowOff>197306</xdr:rowOff>
    </xdr:from>
    <xdr:to>
      <xdr:col>4</xdr:col>
      <xdr:colOff>928004</xdr:colOff>
      <xdr:row>31</xdr:row>
      <xdr:rowOff>149295</xdr:rowOff>
    </xdr:to>
    <xdr:grpSp>
      <xdr:nvGrpSpPr>
        <xdr:cNvPr id="34" name="Grupo 33">
          <a:extLst>
            <a:ext uri="{FF2B5EF4-FFF2-40B4-BE49-F238E27FC236}">
              <a16:creationId xmlns:a16="http://schemas.microsoft.com/office/drawing/2014/main" id="{00000000-0008-0000-0700-000022000000}"/>
            </a:ext>
          </a:extLst>
        </xdr:cNvPr>
        <xdr:cNvGrpSpPr/>
      </xdr:nvGrpSpPr>
      <xdr:grpSpPr>
        <a:xfrm>
          <a:off x="133347" y="3766732"/>
          <a:ext cx="4757057" cy="3109934"/>
          <a:chOff x="136069" y="3830413"/>
          <a:chExt cx="4574721" cy="3625918"/>
        </a:xfrm>
      </xdr:grpSpPr>
      <xdr:graphicFrame macro="">
        <xdr:nvGraphicFramePr>
          <xdr:cNvPr id="6" name="Gráfico 5">
            <a:extLst>
              <a:ext uri="{FF2B5EF4-FFF2-40B4-BE49-F238E27FC236}">
                <a16:creationId xmlns:a16="http://schemas.microsoft.com/office/drawing/2014/main" id="{00000000-0008-0000-0700-000006000000}"/>
              </a:ext>
            </a:extLst>
          </xdr:cNvPr>
          <xdr:cNvGraphicFramePr/>
        </xdr:nvGraphicFramePr>
        <xdr:xfrm>
          <a:off x="136071" y="4756331"/>
          <a:ext cx="4572000" cy="2700000"/>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11" name="Grupo 10">
            <a:extLst>
              <a:ext uri="{FF2B5EF4-FFF2-40B4-BE49-F238E27FC236}">
                <a16:creationId xmlns:a16="http://schemas.microsoft.com/office/drawing/2014/main" id="{00000000-0008-0000-0700-00000B000000}"/>
              </a:ext>
            </a:extLst>
          </xdr:cNvPr>
          <xdr:cNvGrpSpPr/>
        </xdr:nvGrpSpPr>
        <xdr:grpSpPr>
          <a:xfrm>
            <a:off x="136069" y="3830413"/>
            <a:ext cx="4574721" cy="874884"/>
            <a:chOff x="136069" y="3830413"/>
            <a:chExt cx="4574721" cy="874884"/>
          </a:xfrm>
        </xdr:grpSpPr>
        <xdr:sp macro="" textlink="">
          <xdr:nvSpPr>
            <xdr:cNvPr id="8" name="Rectángulo 7">
              <a:extLst>
                <a:ext uri="{FF2B5EF4-FFF2-40B4-BE49-F238E27FC236}">
                  <a16:creationId xmlns:a16="http://schemas.microsoft.com/office/drawing/2014/main" id="{00000000-0008-0000-0700-000008000000}"/>
                </a:ext>
              </a:extLst>
            </xdr:cNvPr>
            <xdr:cNvSpPr/>
          </xdr:nvSpPr>
          <xdr:spPr>
            <a:xfrm>
              <a:off x="136069" y="3830413"/>
              <a:ext cx="36000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tx1"/>
                  </a:solidFill>
                  <a:latin typeface="Century Gothic" panose="020B0502020202020204" pitchFamily="34" charset="0"/>
                </a:rPr>
                <a:t>PROPORCIÓN DE AUDITORÍAS CON ENFOQUE EN RIESGOS CON PLAN DE MEJORA, ESE METROSALUD, 2019 - 2023</a:t>
              </a:r>
            </a:p>
          </xdr:txBody>
        </xdr:sp>
        <xdr:grpSp>
          <xdr:nvGrpSpPr>
            <xdr:cNvPr id="5" name="Grupo 4">
              <a:extLst>
                <a:ext uri="{FF2B5EF4-FFF2-40B4-BE49-F238E27FC236}">
                  <a16:creationId xmlns:a16="http://schemas.microsoft.com/office/drawing/2014/main" id="{00000000-0008-0000-0700-000005000000}"/>
                </a:ext>
              </a:extLst>
            </xdr:cNvPr>
            <xdr:cNvGrpSpPr/>
          </xdr:nvGrpSpPr>
          <xdr:grpSpPr>
            <a:xfrm>
              <a:off x="3796390" y="3830413"/>
              <a:ext cx="914400" cy="874884"/>
              <a:chOff x="3796390" y="3830413"/>
              <a:chExt cx="914400" cy="874884"/>
            </a:xfrm>
          </xdr:grpSpPr>
          <xdr:sp macro="" textlink="$F$11">
            <xdr:nvSpPr>
              <xdr:cNvPr id="7" name="Rectángulo 6">
                <a:extLst>
                  <a:ext uri="{FF2B5EF4-FFF2-40B4-BE49-F238E27FC236}">
                    <a16:creationId xmlns:a16="http://schemas.microsoft.com/office/drawing/2014/main" id="{00000000-0008-0000-0700-000007000000}"/>
                  </a:ext>
                </a:extLst>
              </xdr:cNvPr>
              <xdr:cNvSpPr/>
            </xdr:nvSpPr>
            <xdr:spPr>
              <a:xfrm>
                <a:off x="3796390" y="3830413"/>
                <a:ext cx="9144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E7A09B0-BC52-4372-984B-E632E7B197BB}" type="TxLink">
                  <a:rPr lang="en-US" sz="2000" b="1" i="0" u="none" strike="noStrike">
                    <a:solidFill>
                      <a:srgbClr val="FF0000"/>
                    </a:solidFill>
                    <a:latin typeface="Century Gothic"/>
                  </a:rPr>
                  <a:pPr algn="ctr"/>
                  <a:t>47,1%</a:t>
                </a:fld>
                <a:endParaRPr lang="es-CO" sz="2000">
                  <a:solidFill>
                    <a:srgbClr val="FF0000"/>
                  </a:solidFill>
                </a:endParaRPr>
              </a:p>
            </xdr:txBody>
          </xdr:sp>
          <xdr:grpSp>
            <xdr:nvGrpSpPr>
              <xdr:cNvPr id="3" name="Grupo 2">
                <a:extLst>
                  <a:ext uri="{FF2B5EF4-FFF2-40B4-BE49-F238E27FC236}">
                    <a16:creationId xmlns:a16="http://schemas.microsoft.com/office/drawing/2014/main" id="{00000000-0008-0000-0700-000003000000}"/>
                  </a:ext>
                </a:extLst>
              </xdr:cNvPr>
              <xdr:cNvGrpSpPr/>
            </xdr:nvGrpSpPr>
            <xdr:grpSpPr>
              <a:xfrm>
                <a:off x="3864428" y="4376836"/>
                <a:ext cx="771484" cy="324734"/>
                <a:chOff x="2394857" y="8189876"/>
                <a:chExt cx="771484" cy="324734"/>
              </a:xfrm>
            </xdr:grpSpPr>
            <xdr:sp macro="" textlink="$E$11">
              <xdr:nvSpPr>
                <xdr:cNvPr id="16" name="Rectángulo 15">
                  <a:extLst>
                    <a:ext uri="{FF2B5EF4-FFF2-40B4-BE49-F238E27FC236}">
                      <a16:creationId xmlns:a16="http://schemas.microsoft.com/office/drawing/2014/main" id="{00000000-0008-0000-0700-000010000000}"/>
                    </a:ext>
                  </a:extLst>
                </xdr:cNvPr>
                <xdr:cNvSpPr/>
              </xdr:nvSpPr>
              <xdr:spPr>
                <a:xfrm>
                  <a:off x="2423012" y="8226688"/>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4DF38C-8B3C-4212-9785-1EBEB69ABF91}" type="TxLink">
                    <a:rPr lang="en-US" sz="1100" b="1" i="0" u="none" strike="noStrike">
                      <a:solidFill>
                        <a:srgbClr val="FF0000"/>
                      </a:solidFill>
                      <a:latin typeface="Century Gothic"/>
                    </a:rPr>
                    <a:pPr algn="ctr"/>
                    <a:t>40</a:t>
                  </a:fld>
                  <a:endParaRPr lang="es-CO" sz="1050">
                    <a:solidFill>
                      <a:srgbClr val="FF0000"/>
                    </a:solidFill>
                  </a:endParaRPr>
                </a:p>
              </xdr:txBody>
            </xdr:sp>
            <xdr:sp macro="" textlink="">
              <xdr:nvSpPr>
                <xdr:cNvPr id="20" name="CuadroTexto 19">
                  <a:extLst>
                    <a:ext uri="{FF2B5EF4-FFF2-40B4-BE49-F238E27FC236}">
                      <a16:creationId xmlns:a16="http://schemas.microsoft.com/office/drawing/2014/main" id="{00000000-0008-0000-0700-000014000000}"/>
                    </a:ext>
                  </a:extLst>
                </xdr:cNvPr>
                <xdr:cNvSpPr txBox="1"/>
              </xdr:nvSpPr>
              <xdr:spPr>
                <a:xfrm>
                  <a:off x="2394857" y="8189876"/>
                  <a:ext cx="771484" cy="27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sp macro="" textlink="$C$11">
              <xdr:nvSpPr>
                <xdr:cNvPr id="21" name="Rectángulo 20">
                  <a:extLst>
                    <a:ext uri="{FF2B5EF4-FFF2-40B4-BE49-F238E27FC236}">
                      <a16:creationId xmlns:a16="http://schemas.microsoft.com/office/drawing/2014/main" id="{00000000-0008-0000-0700-000015000000}"/>
                    </a:ext>
                  </a:extLst>
                </xdr:cNvPr>
                <xdr:cNvSpPr/>
              </xdr:nvSpPr>
              <xdr:spPr>
                <a:xfrm>
                  <a:off x="2712636" y="8226688"/>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F3F9DFD-AAC4-4DB5-A366-06128AB66815}" type="TxLink">
                    <a:rPr lang="en-US" sz="1100" b="1" i="0" u="none" strike="noStrike">
                      <a:solidFill>
                        <a:srgbClr val="FF0000"/>
                      </a:solidFill>
                      <a:latin typeface="Century Gothic"/>
                    </a:rPr>
                    <a:pPr algn="ctr"/>
                    <a:t>85</a:t>
                  </a:fld>
                  <a:endParaRPr lang="es-CO" sz="1050">
                    <a:solidFill>
                      <a:srgbClr val="FF0000"/>
                    </a:solidFill>
                  </a:endParaRPr>
                </a:p>
              </xdr:txBody>
            </xdr:sp>
          </xdr:grpSp>
        </xdr:grpSp>
      </xdr:grpSp>
    </xdr:grpSp>
    <xdr:clientData/>
  </xdr:twoCellAnchor>
  <xdr:twoCellAnchor editAs="absolute">
    <xdr:from>
      <xdr:col>5</xdr:col>
      <xdr:colOff>136071</xdr:colOff>
      <xdr:row>13</xdr:row>
      <xdr:rowOff>197306</xdr:rowOff>
    </xdr:from>
    <xdr:to>
      <xdr:col>9</xdr:col>
      <xdr:colOff>356506</xdr:colOff>
      <xdr:row>31</xdr:row>
      <xdr:rowOff>149295</xdr:rowOff>
    </xdr:to>
    <xdr:grpSp>
      <xdr:nvGrpSpPr>
        <xdr:cNvPr id="37" name="Grupo 36">
          <a:extLst>
            <a:ext uri="{FF2B5EF4-FFF2-40B4-BE49-F238E27FC236}">
              <a16:creationId xmlns:a16="http://schemas.microsoft.com/office/drawing/2014/main" id="{00000000-0008-0000-0700-000025000000}"/>
            </a:ext>
          </a:extLst>
        </xdr:cNvPr>
        <xdr:cNvGrpSpPr/>
      </xdr:nvGrpSpPr>
      <xdr:grpSpPr>
        <a:xfrm>
          <a:off x="5219700" y="3766732"/>
          <a:ext cx="4705349" cy="3109934"/>
          <a:chOff x="5007428" y="3830413"/>
          <a:chExt cx="4574721" cy="3625918"/>
        </a:xfrm>
      </xdr:grpSpPr>
      <xdr:graphicFrame macro="">
        <xdr:nvGraphicFramePr>
          <xdr:cNvPr id="17" name="Gráfico 16">
            <a:extLst>
              <a:ext uri="{FF2B5EF4-FFF2-40B4-BE49-F238E27FC236}">
                <a16:creationId xmlns:a16="http://schemas.microsoft.com/office/drawing/2014/main" id="{00000000-0008-0000-0700-000011000000}"/>
              </a:ext>
            </a:extLst>
          </xdr:cNvPr>
          <xdr:cNvGraphicFramePr/>
        </xdr:nvGraphicFramePr>
        <xdr:xfrm>
          <a:off x="5007430" y="4756331"/>
          <a:ext cx="4572000" cy="270000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36" name="Grupo 35">
            <a:extLst>
              <a:ext uri="{FF2B5EF4-FFF2-40B4-BE49-F238E27FC236}">
                <a16:creationId xmlns:a16="http://schemas.microsoft.com/office/drawing/2014/main" id="{00000000-0008-0000-0700-000024000000}"/>
              </a:ext>
            </a:extLst>
          </xdr:cNvPr>
          <xdr:cNvGrpSpPr/>
        </xdr:nvGrpSpPr>
        <xdr:grpSpPr>
          <a:xfrm>
            <a:off x="5007428" y="3830413"/>
            <a:ext cx="4574721" cy="874884"/>
            <a:chOff x="5007428" y="3830413"/>
            <a:chExt cx="4574721" cy="874884"/>
          </a:xfrm>
        </xdr:grpSpPr>
        <xdr:sp macro="" textlink="">
          <xdr:nvSpPr>
            <xdr:cNvPr id="19" name="Rectángulo 18">
              <a:extLst>
                <a:ext uri="{FF2B5EF4-FFF2-40B4-BE49-F238E27FC236}">
                  <a16:creationId xmlns:a16="http://schemas.microsoft.com/office/drawing/2014/main" id="{00000000-0008-0000-0700-000013000000}"/>
                </a:ext>
              </a:extLst>
            </xdr:cNvPr>
            <xdr:cNvSpPr/>
          </xdr:nvSpPr>
          <xdr:spPr>
            <a:xfrm>
              <a:off x="5007428" y="3830413"/>
              <a:ext cx="36000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200" b="1">
                  <a:solidFill>
                    <a:schemeClr val="tx1"/>
                  </a:solidFill>
                  <a:latin typeface="Century Gothic" panose="020B0502020202020204" pitchFamily="34" charset="0"/>
                  <a:ea typeface="+mn-ea"/>
                  <a:cs typeface="+mn-cs"/>
                </a:rPr>
                <a:t>PROPORCIÓN DE ACCIONES DE MEJORA CUMPLIDAS DE</a:t>
              </a:r>
              <a:r>
                <a:rPr lang="es-CO" sz="1200" b="1" baseline="0">
                  <a:solidFill>
                    <a:schemeClr val="tx1"/>
                  </a:solidFill>
                  <a:latin typeface="Century Gothic" panose="020B0502020202020204" pitchFamily="34" charset="0"/>
                  <a:ea typeface="+mn-ea"/>
                  <a:cs typeface="+mn-cs"/>
                </a:rPr>
                <a:t> LAS </a:t>
              </a:r>
              <a:r>
                <a:rPr lang="es-CO" sz="1200" b="1">
                  <a:solidFill>
                    <a:schemeClr val="tx1"/>
                  </a:solidFill>
                  <a:latin typeface="Century Gothic" panose="020B0502020202020204" pitchFamily="34" charset="0"/>
                  <a:ea typeface="+mn-ea"/>
                  <a:cs typeface="+mn-cs"/>
                </a:rPr>
                <a:t>AUDITORÍAS CON ENFOQUE EN RIESGOS, ESE METROSALUD, 2019 - 2023</a:t>
              </a:r>
            </a:p>
          </xdr:txBody>
        </xdr:sp>
        <xdr:grpSp>
          <xdr:nvGrpSpPr>
            <xdr:cNvPr id="35" name="Grupo 34">
              <a:extLst>
                <a:ext uri="{FF2B5EF4-FFF2-40B4-BE49-F238E27FC236}">
                  <a16:creationId xmlns:a16="http://schemas.microsoft.com/office/drawing/2014/main" id="{00000000-0008-0000-0700-000023000000}"/>
                </a:ext>
              </a:extLst>
            </xdr:cNvPr>
            <xdr:cNvGrpSpPr/>
          </xdr:nvGrpSpPr>
          <xdr:grpSpPr>
            <a:xfrm>
              <a:off x="8667749" y="3830413"/>
              <a:ext cx="914400" cy="874884"/>
              <a:chOff x="8667749" y="3830413"/>
              <a:chExt cx="914400" cy="874884"/>
            </a:xfrm>
          </xdr:grpSpPr>
          <xdr:sp macro="" textlink="$I$11">
            <xdr:nvSpPr>
              <xdr:cNvPr id="18" name="Rectángulo 17">
                <a:extLst>
                  <a:ext uri="{FF2B5EF4-FFF2-40B4-BE49-F238E27FC236}">
                    <a16:creationId xmlns:a16="http://schemas.microsoft.com/office/drawing/2014/main" id="{00000000-0008-0000-0700-000012000000}"/>
                  </a:ext>
                </a:extLst>
              </xdr:cNvPr>
              <xdr:cNvSpPr/>
            </xdr:nvSpPr>
            <xdr:spPr>
              <a:xfrm>
                <a:off x="8667749" y="3830413"/>
                <a:ext cx="9144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F4F3974D-1070-4EA2-8002-7AB5EEC5B8EB}" type="TxLink">
                  <a:rPr lang="en-US" sz="2000" b="1" i="0" u="none" strike="noStrike">
                    <a:solidFill>
                      <a:srgbClr val="FF0000"/>
                    </a:solidFill>
                    <a:latin typeface="Century Gothic"/>
                    <a:ea typeface="+mn-ea"/>
                    <a:cs typeface="+mn-cs"/>
                  </a:rPr>
                  <a:pPr marL="0" indent="0" algn="ctr"/>
                  <a:t>29,5%</a:t>
                </a:fld>
                <a:endParaRPr lang="es-CO" sz="2000" b="1" i="0" u="none" strike="noStrike">
                  <a:solidFill>
                    <a:srgbClr val="FF0000"/>
                  </a:solidFill>
                  <a:latin typeface="Century Gothic"/>
                  <a:ea typeface="+mn-ea"/>
                  <a:cs typeface="+mn-cs"/>
                </a:endParaRPr>
              </a:p>
            </xdr:txBody>
          </xdr:sp>
          <xdr:grpSp>
            <xdr:nvGrpSpPr>
              <xdr:cNvPr id="22" name="Grupo 21">
                <a:extLst>
                  <a:ext uri="{FF2B5EF4-FFF2-40B4-BE49-F238E27FC236}">
                    <a16:creationId xmlns:a16="http://schemas.microsoft.com/office/drawing/2014/main" id="{00000000-0008-0000-0700-000016000000}"/>
                  </a:ext>
                </a:extLst>
              </xdr:cNvPr>
              <xdr:cNvGrpSpPr/>
            </xdr:nvGrpSpPr>
            <xdr:grpSpPr>
              <a:xfrm>
                <a:off x="8712233" y="4390445"/>
                <a:ext cx="843231" cy="311125"/>
                <a:chOff x="2436619" y="8357964"/>
                <a:chExt cx="843231" cy="311125"/>
              </a:xfrm>
            </xdr:grpSpPr>
            <xdr:sp macro="" textlink="$H$11">
              <xdr:nvSpPr>
                <xdr:cNvPr id="23" name="Rectángulo 22">
                  <a:extLst>
                    <a:ext uri="{FF2B5EF4-FFF2-40B4-BE49-F238E27FC236}">
                      <a16:creationId xmlns:a16="http://schemas.microsoft.com/office/drawing/2014/main" id="{00000000-0008-0000-0700-000017000000}"/>
                    </a:ext>
                  </a:extLst>
                </xdr:cNvPr>
                <xdr:cNvSpPr/>
              </xdr:nvSpPr>
              <xdr:spPr>
                <a:xfrm>
                  <a:off x="2436619" y="8381167"/>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050781B-56AE-4494-9B43-9B10B3303D74}" type="TxLink">
                    <a:rPr lang="en-US" sz="1100" b="1" i="0" u="none" strike="noStrike">
                      <a:solidFill>
                        <a:srgbClr val="FF0000"/>
                      </a:solidFill>
                      <a:latin typeface="Century Gothic"/>
                    </a:rPr>
                    <a:pPr algn="ctr"/>
                    <a:t>72</a:t>
                  </a:fld>
                  <a:endParaRPr lang="es-CO" sz="1000">
                    <a:solidFill>
                      <a:srgbClr val="FF0000"/>
                    </a:solidFill>
                  </a:endParaRPr>
                </a:p>
              </xdr:txBody>
            </xdr:sp>
            <xdr:sp macro="" textlink="">
              <xdr:nvSpPr>
                <xdr:cNvPr id="24" name="CuadroTexto 23">
                  <a:extLst>
                    <a:ext uri="{FF2B5EF4-FFF2-40B4-BE49-F238E27FC236}">
                      <a16:creationId xmlns:a16="http://schemas.microsoft.com/office/drawing/2014/main" id="{00000000-0008-0000-0700-000018000000}"/>
                    </a:ext>
                  </a:extLst>
                </xdr:cNvPr>
                <xdr:cNvSpPr txBox="1"/>
              </xdr:nvSpPr>
              <xdr:spPr>
                <a:xfrm>
                  <a:off x="2449285" y="8357964"/>
                  <a:ext cx="771484" cy="27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sp macro="" textlink="$O$11">
              <xdr:nvSpPr>
                <xdr:cNvPr id="25" name="Rectángulo 24">
                  <a:extLst>
                    <a:ext uri="{FF2B5EF4-FFF2-40B4-BE49-F238E27FC236}">
                      <a16:creationId xmlns:a16="http://schemas.microsoft.com/office/drawing/2014/main" id="{00000000-0008-0000-0700-000019000000}"/>
                    </a:ext>
                  </a:extLst>
                </xdr:cNvPr>
                <xdr:cNvSpPr/>
              </xdr:nvSpPr>
              <xdr:spPr>
                <a:xfrm>
                  <a:off x="2739850" y="8381167"/>
                  <a:ext cx="540000"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7E5105-638A-4BDF-8822-FBCF8DD7D7EC}" type="TxLink">
                    <a:rPr lang="en-US" sz="1100" b="1" i="0" u="none" strike="noStrike">
                      <a:solidFill>
                        <a:srgbClr val="FF0000"/>
                      </a:solidFill>
                      <a:latin typeface="Century Gothic"/>
                    </a:rPr>
                    <a:pPr algn="ctr"/>
                    <a:t>244</a:t>
                  </a:fld>
                  <a:endParaRPr lang="es-CO" sz="900">
                    <a:solidFill>
                      <a:srgbClr val="FF0000"/>
                    </a:solidFill>
                  </a:endParaRPr>
                </a:p>
              </xdr:txBody>
            </xdr:sp>
          </xdr:grpSp>
        </xdr:grpSp>
      </xdr:grpSp>
    </xdr:grpSp>
    <xdr:clientData/>
  </xdr:twoCellAnchor>
  <xdr:twoCellAnchor editAs="absolute">
    <xdr:from>
      <xdr:col>9</xdr:col>
      <xdr:colOff>653143</xdr:colOff>
      <xdr:row>13</xdr:row>
      <xdr:rowOff>197306</xdr:rowOff>
    </xdr:from>
    <xdr:to>
      <xdr:col>13</xdr:col>
      <xdr:colOff>873579</xdr:colOff>
      <xdr:row>31</xdr:row>
      <xdr:rowOff>149295</xdr:rowOff>
    </xdr:to>
    <xdr:grpSp>
      <xdr:nvGrpSpPr>
        <xdr:cNvPr id="40" name="Grupo 39">
          <a:extLst>
            <a:ext uri="{FF2B5EF4-FFF2-40B4-BE49-F238E27FC236}">
              <a16:creationId xmlns:a16="http://schemas.microsoft.com/office/drawing/2014/main" id="{00000000-0008-0000-0700-000028000000}"/>
            </a:ext>
          </a:extLst>
        </xdr:cNvPr>
        <xdr:cNvGrpSpPr/>
      </xdr:nvGrpSpPr>
      <xdr:grpSpPr>
        <a:xfrm>
          <a:off x="10221686" y="3766732"/>
          <a:ext cx="4705350" cy="3109934"/>
          <a:chOff x="9878786" y="3830413"/>
          <a:chExt cx="4574721" cy="3625918"/>
        </a:xfrm>
      </xdr:grpSpPr>
      <xdr:graphicFrame macro="">
        <xdr:nvGraphicFramePr>
          <xdr:cNvPr id="12" name="Gráfico 11">
            <a:extLst>
              <a:ext uri="{FF2B5EF4-FFF2-40B4-BE49-F238E27FC236}">
                <a16:creationId xmlns:a16="http://schemas.microsoft.com/office/drawing/2014/main" id="{00000000-0008-0000-0700-00000C000000}"/>
              </a:ext>
            </a:extLst>
          </xdr:cNvPr>
          <xdr:cNvGraphicFramePr/>
        </xdr:nvGraphicFramePr>
        <xdr:xfrm>
          <a:off x="9878788" y="4756331"/>
          <a:ext cx="4572000" cy="2700000"/>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39" name="Grupo 38">
            <a:extLst>
              <a:ext uri="{FF2B5EF4-FFF2-40B4-BE49-F238E27FC236}">
                <a16:creationId xmlns:a16="http://schemas.microsoft.com/office/drawing/2014/main" id="{00000000-0008-0000-0700-000027000000}"/>
              </a:ext>
            </a:extLst>
          </xdr:cNvPr>
          <xdr:cNvGrpSpPr/>
        </xdr:nvGrpSpPr>
        <xdr:grpSpPr>
          <a:xfrm>
            <a:off x="9878786" y="3830413"/>
            <a:ext cx="4574721" cy="874884"/>
            <a:chOff x="9878786" y="3830413"/>
            <a:chExt cx="4574721" cy="874884"/>
          </a:xfrm>
        </xdr:grpSpPr>
        <xdr:sp macro="" textlink="">
          <xdr:nvSpPr>
            <xdr:cNvPr id="14" name="Rectángulo 13">
              <a:extLst>
                <a:ext uri="{FF2B5EF4-FFF2-40B4-BE49-F238E27FC236}">
                  <a16:creationId xmlns:a16="http://schemas.microsoft.com/office/drawing/2014/main" id="{00000000-0008-0000-0700-00000E000000}"/>
                </a:ext>
              </a:extLst>
            </xdr:cNvPr>
            <xdr:cNvSpPr/>
          </xdr:nvSpPr>
          <xdr:spPr>
            <a:xfrm>
              <a:off x="9878786" y="3830413"/>
              <a:ext cx="36000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200" b="1">
                  <a:solidFill>
                    <a:schemeClr val="tx1"/>
                  </a:solidFill>
                  <a:latin typeface="Century Gothic" panose="020B0502020202020204" pitchFamily="34" charset="0"/>
                  <a:ea typeface="+mn-ea"/>
                  <a:cs typeface="+mn-cs"/>
                </a:rPr>
                <a:t>PROPORCIÓN DE OPORTUNIDADES DE MEJORA CERRADAS DE LAS AUDITORÍAS CON ENFOQUE EN RIESGOS, ESE METROSALUD, 2019 - 2023</a:t>
              </a:r>
            </a:p>
          </xdr:txBody>
        </xdr:sp>
        <xdr:grpSp>
          <xdr:nvGrpSpPr>
            <xdr:cNvPr id="38" name="Grupo 37">
              <a:extLst>
                <a:ext uri="{FF2B5EF4-FFF2-40B4-BE49-F238E27FC236}">
                  <a16:creationId xmlns:a16="http://schemas.microsoft.com/office/drawing/2014/main" id="{00000000-0008-0000-0700-000026000000}"/>
                </a:ext>
              </a:extLst>
            </xdr:cNvPr>
            <xdr:cNvGrpSpPr/>
          </xdr:nvGrpSpPr>
          <xdr:grpSpPr>
            <a:xfrm>
              <a:off x="13539107" y="3830413"/>
              <a:ext cx="914400" cy="874884"/>
              <a:chOff x="13539107" y="3830413"/>
              <a:chExt cx="914400" cy="874884"/>
            </a:xfrm>
          </xdr:grpSpPr>
          <xdr:sp macro="" textlink="$Q$11">
            <xdr:nvSpPr>
              <xdr:cNvPr id="13" name="Rectángulo 12">
                <a:extLst>
                  <a:ext uri="{FF2B5EF4-FFF2-40B4-BE49-F238E27FC236}">
                    <a16:creationId xmlns:a16="http://schemas.microsoft.com/office/drawing/2014/main" id="{00000000-0008-0000-0700-00000D000000}"/>
                  </a:ext>
                </a:extLst>
              </xdr:cNvPr>
              <xdr:cNvSpPr/>
            </xdr:nvSpPr>
            <xdr:spPr>
              <a:xfrm>
                <a:off x="13539107" y="3830413"/>
                <a:ext cx="914400" cy="874884"/>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5008423-0C0D-41A7-9CCA-00A46E820B2B}" type="TxLink">
                  <a:rPr lang="en-US" sz="2000" b="1" i="0" u="none" strike="noStrike">
                    <a:solidFill>
                      <a:srgbClr val="FF0000"/>
                    </a:solidFill>
                    <a:latin typeface="Century Gothic"/>
                    <a:ea typeface="+mn-ea"/>
                    <a:cs typeface="+mn-cs"/>
                  </a:rPr>
                  <a:pPr marL="0" indent="0" algn="ctr"/>
                  <a:t>10,1%</a:t>
                </a:fld>
                <a:endParaRPr lang="es-CO" sz="2000" b="1" i="0" u="none" strike="noStrike">
                  <a:solidFill>
                    <a:srgbClr val="FF0000"/>
                  </a:solidFill>
                  <a:latin typeface="Century Gothic"/>
                  <a:ea typeface="+mn-ea"/>
                  <a:cs typeface="+mn-cs"/>
                </a:endParaRPr>
              </a:p>
            </xdr:txBody>
          </xdr:sp>
          <xdr:grpSp>
            <xdr:nvGrpSpPr>
              <xdr:cNvPr id="30" name="Grupo 29">
                <a:extLst>
                  <a:ext uri="{FF2B5EF4-FFF2-40B4-BE49-F238E27FC236}">
                    <a16:creationId xmlns:a16="http://schemas.microsoft.com/office/drawing/2014/main" id="{00000000-0008-0000-0700-00001E000000}"/>
                  </a:ext>
                </a:extLst>
              </xdr:cNvPr>
              <xdr:cNvGrpSpPr/>
            </xdr:nvGrpSpPr>
            <xdr:grpSpPr>
              <a:xfrm>
                <a:off x="13599919" y="4390447"/>
                <a:ext cx="843231" cy="311123"/>
                <a:chOff x="2436619" y="8317144"/>
                <a:chExt cx="843231" cy="311123"/>
              </a:xfrm>
            </xdr:grpSpPr>
            <xdr:sp macro="" textlink="$P$11">
              <xdr:nvSpPr>
                <xdr:cNvPr id="31" name="Rectángulo 30">
                  <a:extLst>
                    <a:ext uri="{FF2B5EF4-FFF2-40B4-BE49-F238E27FC236}">
                      <a16:creationId xmlns:a16="http://schemas.microsoft.com/office/drawing/2014/main" id="{00000000-0008-0000-0700-00001F000000}"/>
                    </a:ext>
                  </a:extLst>
                </xdr:cNvPr>
                <xdr:cNvSpPr/>
              </xdr:nvSpPr>
              <xdr:spPr>
                <a:xfrm>
                  <a:off x="2436619" y="8340345"/>
                  <a:ext cx="432354"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1BBE2C4-875E-4D08-BFC7-B167E2D310E7}" type="TxLink">
                    <a:rPr lang="en-US" sz="1100" b="1" i="0" u="none" strike="noStrike">
                      <a:solidFill>
                        <a:srgbClr val="FF0000"/>
                      </a:solidFill>
                      <a:latin typeface="Century Gothic"/>
                    </a:rPr>
                    <a:pPr algn="ctr"/>
                    <a:t>41</a:t>
                  </a:fld>
                  <a:endParaRPr lang="es-CO" sz="900">
                    <a:solidFill>
                      <a:srgbClr val="FF0000"/>
                    </a:solidFill>
                  </a:endParaRPr>
                </a:p>
              </xdr:txBody>
            </xdr:sp>
            <xdr:sp macro="" textlink="">
              <xdr:nvSpPr>
                <xdr:cNvPr id="32" name="CuadroTexto 31">
                  <a:extLst>
                    <a:ext uri="{FF2B5EF4-FFF2-40B4-BE49-F238E27FC236}">
                      <a16:creationId xmlns:a16="http://schemas.microsoft.com/office/drawing/2014/main" id="{00000000-0008-0000-0700-000020000000}"/>
                    </a:ext>
                  </a:extLst>
                </xdr:cNvPr>
                <xdr:cNvSpPr txBox="1"/>
              </xdr:nvSpPr>
              <xdr:spPr>
                <a:xfrm>
                  <a:off x="2449285" y="8317144"/>
                  <a:ext cx="771484" cy="279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sp macro="" textlink="$D$11">
              <xdr:nvSpPr>
                <xdr:cNvPr id="33" name="Rectángulo 32">
                  <a:extLst>
                    <a:ext uri="{FF2B5EF4-FFF2-40B4-BE49-F238E27FC236}">
                      <a16:creationId xmlns:a16="http://schemas.microsoft.com/office/drawing/2014/main" id="{00000000-0008-0000-0700-000021000000}"/>
                    </a:ext>
                  </a:extLst>
                </xdr:cNvPr>
                <xdr:cNvSpPr/>
              </xdr:nvSpPr>
              <xdr:spPr>
                <a:xfrm>
                  <a:off x="2739850" y="8340345"/>
                  <a:ext cx="540000" cy="2879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7448D4E-B1E3-45EC-806F-C9AA97C7B768}" type="TxLink">
                    <a:rPr lang="en-US" sz="1100" b="1" i="0" u="none" strike="noStrike">
                      <a:solidFill>
                        <a:srgbClr val="FF0000"/>
                      </a:solidFill>
                      <a:latin typeface="Century Gothic"/>
                    </a:rPr>
                    <a:pPr algn="ctr"/>
                    <a:t>405</a:t>
                  </a:fld>
                  <a:endParaRPr lang="es-CO" sz="900">
                    <a:solidFill>
                      <a:srgbClr val="FF0000"/>
                    </a:solidFill>
                  </a:endParaRPr>
                </a:p>
              </xdr:txBody>
            </xdr:sp>
          </xdr:grp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176891</xdr:colOff>
      <xdr:row>33</xdr:row>
      <xdr:rowOff>108857</xdr:rowOff>
    </xdr:from>
    <xdr:to>
      <xdr:col>10</xdr:col>
      <xdr:colOff>1040378</xdr:colOff>
      <xdr:row>71</xdr:row>
      <xdr:rowOff>81638</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244927" y="9565821"/>
          <a:ext cx="11014415" cy="7728853"/>
          <a:chOff x="246155" y="10586356"/>
          <a:chExt cx="11011951" cy="7869872"/>
        </a:xfrm>
      </xdr:grpSpPr>
      <xdr:grpSp>
        <xdr:nvGrpSpPr>
          <xdr:cNvPr id="3" name="Grupo 2">
            <a:extLst>
              <a:ext uri="{FF2B5EF4-FFF2-40B4-BE49-F238E27FC236}">
                <a16:creationId xmlns:a16="http://schemas.microsoft.com/office/drawing/2014/main" id="{00000000-0008-0000-0800-000003000000}"/>
              </a:ext>
            </a:extLst>
          </xdr:cNvPr>
          <xdr:cNvGrpSpPr/>
        </xdr:nvGrpSpPr>
        <xdr:grpSpPr>
          <a:xfrm>
            <a:off x="246155" y="10586356"/>
            <a:ext cx="10967626" cy="849959"/>
            <a:chOff x="244927" y="10477499"/>
            <a:chExt cx="10970079" cy="834728"/>
          </a:xfrm>
        </xdr:grpSpPr>
        <xdr:sp macro="" textlink="">
          <xdr:nvSpPr>
            <xdr:cNvPr id="233" name="Rectángulo 232">
              <a:extLst>
                <a:ext uri="{FF2B5EF4-FFF2-40B4-BE49-F238E27FC236}">
                  <a16:creationId xmlns:a16="http://schemas.microsoft.com/office/drawing/2014/main" id="{00000000-0008-0000-0800-0000E9000000}"/>
                </a:ext>
              </a:extLst>
            </xdr:cNvPr>
            <xdr:cNvSpPr/>
          </xdr:nvSpPr>
          <xdr:spPr>
            <a:xfrm>
              <a:off x="244927" y="10477499"/>
              <a:ext cx="10011600" cy="828000"/>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latin typeface="Century Gothic" panose="020B0502020202020204" pitchFamily="34" charset="0"/>
                </a:rPr>
                <a:t>PROPORCION DE AUDITORÍAS CON ENFOQUE DE RIESGOS CON PLAN DE MEJORA,</a:t>
              </a:r>
              <a:r>
                <a:rPr lang="es-CO" sz="1400" b="1" baseline="0">
                  <a:solidFill>
                    <a:schemeClr val="tx1"/>
                  </a:solidFill>
                  <a:latin typeface="Century Gothic" panose="020B0502020202020204" pitchFamily="34" charset="0"/>
                </a:rPr>
                <a:t> </a:t>
              </a:r>
            </a:p>
            <a:p>
              <a:pPr algn="ctr"/>
              <a:r>
                <a:rPr lang="es-CO" sz="1400" b="1">
                  <a:solidFill>
                    <a:schemeClr val="tx1"/>
                  </a:solidFill>
                  <a:latin typeface="Century Gothic" panose="020B0502020202020204" pitchFamily="34" charset="0"/>
                </a:rPr>
                <a:t>ESE METROSALUD, 2019 - 2023</a:t>
              </a:r>
            </a:p>
          </xdr:txBody>
        </xdr:sp>
        <xdr:grpSp>
          <xdr:nvGrpSpPr>
            <xdr:cNvPr id="234" name="Grupo 233">
              <a:extLst>
                <a:ext uri="{FF2B5EF4-FFF2-40B4-BE49-F238E27FC236}">
                  <a16:creationId xmlns:a16="http://schemas.microsoft.com/office/drawing/2014/main" id="{00000000-0008-0000-0800-0000EA000000}"/>
                </a:ext>
              </a:extLst>
            </xdr:cNvPr>
            <xdr:cNvGrpSpPr/>
          </xdr:nvGrpSpPr>
          <xdr:grpSpPr>
            <a:xfrm>
              <a:off x="10300606" y="10477499"/>
              <a:ext cx="914400" cy="834728"/>
              <a:chOff x="10300606" y="10477499"/>
              <a:chExt cx="914400" cy="834728"/>
            </a:xfrm>
          </xdr:grpSpPr>
          <xdr:sp macro="" textlink="$S$32">
            <xdr:nvSpPr>
              <xdr:cNvPr id="235" name="Rectángulo 234">
                <a:extLst>
                  <a:ext uri="{FF2B5EF4-FFF2-40B4-BE49-F238E27FC236}">
                    <a16:creationId xmlns:a16="http://schemas.microsoft.com/office/drawing/2014/main" id="{00000000-0008-0000-0800-0000EB000000}"/>
                  </a:ext>
                </a:extLst>
              </xdr:cNvPr>
              <xdr:cNvSpPr/>
            </xdr:nvSpPr>
            <xdr:spPr>
              <a:xfrm>
                <a:off x="10300606" y="10477499"/>
                <a:ext cx="914400" cy="828000"/>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6ADC6A4-37EC-4CAC-A7BC-2B14B3A1D8A8}" type="TxLink">
                  <a:rPr lang="en-US" sz="1800" b="1" i="0" u="none" strike="noStrike">
                    <a:solidFill>
                      <a:schemeClr val="tx1">
                        <a:lumMod val="95000"/>
                        <a:lumOff val="5000"/>
                      </a:schemeClr>
                    </a:solidFill>
                    <a:latin typeface="Century Gothic"/>
                  </a:rPr>
                  <a:pPr algn="ctr"/>
                  <a:t>46,3%</a:t>
                </a:fld>
                <a:endParaRPr lang="es-CO" sz="3200">
                  <a:solidFill>
                    <a:schemeClr val="tx1">
                      <a:lumMod val="95000"/>
                      <a:lumOff val="5000"/>
                    </a:schemeClr>
                  </a:solidFill>
                </a:endParaRPr>
              </a:p>
            </xdr:txBody>
          </xdr:sp>
          <xdr:grpSp>
            <xdr:nvGrpSpPr>
              <xdr:cNvPr id="236" name="Grupo 235">
                <a:extLst>
                  <a:ext uri="{FF2B5EF4-FFF2-40B4-BE49-F238E27FC236}">
                    <a16:creationId xmlns:a16="http://schemas.microsoft.com/office/drawing/2014/main" id="{00000000-0008-0000-0800-0000EC000000}"/>
                  </a:ext>
                </a:extLst>
              </xdr:cNvPr>
              <xdr:cNvGrpSpPr/>
            </xdr:nvGrpSpPr>
            <xdr:grpSpPr>
              <a:xfrm>
                <a:off x="10366809" y="11031871"/>
                <a:ext cx="770852" cy="280356"/>
                <a:chOff x="10380416" y="11031871"/>
                <a:chExt cx="770852" cy="280356"/>
              </a:xfrm>
            </xdr:grpSpPr>
            <xdr:sp macro="" textlink="$K$32">
              <xdr:nvSpPr>
                <xdr:cNvPr id="237" name="Rectángulo 236">
                  <a:extLst>
                    <a:ext uri="{FF2B5EF4-FFF2-40B4-BE49-F238E27FC236}">
                      <a16:creationId xmlns:a16="http://schemas.microsoft.com/office/drawing/2014/main" id="{00000000-0008-0000-0800-0000ED000000}"/>
                    </a:ext>
                  </a:extLst>
                </xdr:cNvPr>
                <xdr:cNvSpPr/>
              </xdr:nvSpPr>
              <xdr:spPr>
                <a:xfrm>
                  <a:off x="10408548"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3CD5905-36B8-4149-9E82-A286585D49F8}" type="TxLink">
                    <a:rPr lang="en-US" sz="1100" b="1" i="0" u="none" strike="noStrike">
                      <a:solidFill>
                        <a:schemeClr val="tx1">
                          <a:lumMod val="95000"/>
                          <a:lumOff val="5000"/>
                        </a:schemeClr>
                      </a:solidFill>
                      <a:latin typeface="Century Gothic"/>
                    </a:rPr>
                    <a:pPr algn="ctr"/>
                    <a:t>38</a:t>
                  </a:fld>
                  <a:endParaRPr lang="es-CO" sz="1100">
                    <a:solidFill>
                      <a:schemeClr val="tx1">
                        <a:lumMod val="95000"/>
                        <a:lumOff val="5000"/>
                      </a:schemeClr>
                    </a:solidFill>
                  </a:endParaRPr>
                </a:p>
              </xdr:txBody>
            </xdr:sp>
            <xdr:sp macro="" textlink="">
              <xdr:nvSpPr>
                <xdr:cNvPr id="238" name="CuadroTexto 237">
                  <a:extLst>
                    <a:ext uri="{FF2B5EF4-FFF2-40B4-BE49-F238E27FC236}">
                      <a16:creationId xmlns:a16="http://schemas.microsoft.com/office/drawing/2014/main" id="{00000000-0008-0000-0800-0000EE000000}"/>
                    </a:ext>
                  </a:extLst>
                </xdr:cNvPr>
                <xdr:cNvSpPr txBox="1"/>
              </xdr:nvSpPr>
              <xdr:spPr>
                <a:xfrm>
                  <a:off x="10380416" y="1103187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latin typeface="Century Gothic" panose="020B0502020202020204" pitchFamily="34" charset="0"/>
                    </a:rPr>
                    <a:t>(</a:t>
                  </a:r>
                  <a:r>
                    <a:rPr lang="es-CO" sz="1100" baseline="0">
                      <a:latin typeface="Century Gothic" panose="020B0502020202020204" pitchFamily="34" charset="0"/>
                    </a:rPr>
                    <a:t>      /      </a:t>
                  </a:r>
                  <a:r>
                    <a:rPr lang="es-CO" sz="1100">
                      <a:latin typeface="Century Gothic" panose="020B0502020202020204" pitchFamily="34" charset="0"/>
                    </a:rPr>
                    <a:t>)</a:t>
                  </a:r>
                </a:p>
              </xdr:txBody>
            </xdr:sp>
            <xdr:sp macro="" textlink="$J$32">
              <xdr:nvSpPr>
                <xdr:cNvPr id="239" name="Rectángulo 238">
                  <a:extLst>
                    <a:ext uri="{FF2B5EF4-FFF2-40B4-BE49-F238E27FC236}">
                      <a16:creationId xmlns:a16="http://schemas.microsoft.com/office/drawing/2014/main" id="{00000000-0008-0000-0800-0000EF000000}"/>
                    </a:ext>
                  </a:extLst>
                </xdr:cNvPr>
                <xdr:cNvSpPr/>
              </xdr:nvSpPr>
              <xdr:spPr>
                <a:xfrm>
                  <a:off x="10697935"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C9C6B0-CB03-49F6-9FE9-A14FD43C86A1}" type="TxLink">
                    <a:rPr lang="en-US" sz="1100" b="1" i="0" u="none" strike="noStrike">
                      <a:solidFill>
                        <a:srgbClr val="000000"/>
                      </a:solidFill>
                      <a:latin typeface="Century Gothic"/>
                    </a:rPr>
                    <a:pPr algn="ctr"/>
                    <a:t>82</a:t>
                  </a:fld>
                  <a:endParaRPr lang="es-CO" sz="1100">
                    <a:solidFill>
                      <a:schemeClr val="tx1">
                        <a:lumMod val="95000"/>
                        <a:lumOff val="5000"/>
                      </a:schemeClr>
                    </a:solidFill>
                  </a:endParaRPr>
                </a:p>
              </xdr:txBody>
            </xdr:sp>
          </xdr:grpSp>
        </xdr:grpSp>
      </xdr:grpSp>
      <xdr:grpSp>
        <xdr:nvGrpSpPr>
          <xdr:cNvPr id="4" name="Grupo 3">
            <a:extLst>
              <a:ext uri="{FF2B5EF4-FFF2-40B4-BE49-F238E27FC236}">
                <a16:creationId xmlns:a16="http://schemas.microsoft.com/office/drawing/2014/main" id="{00000000-0008-0000-0800-000004000000}"/>
              </a:ext>
            </a:extLst>
          </xdr:cNvPr>
          <xdr:cNvGrpSpPr/>
        </xdr:nvGrpSpPr>
        <xdr:grpSpPr>
          <a:xfrm>
            <a:off x="273364" y="11542374"/>
            <a:ext cx="10984742" cy="6913854"/>
            <a:chOff x="273364" y="11542374"/>
            <a:chExt cx="10984742" cy="6913854"/>
          </a:xfrm>
        </xdr:grpSpPr>
        <xdr:sp macro="" textlink="">
          <xdr:nvSpPr>
            <xdr:cNvPr id="5" name="Rectángulo redondeado 4">
              <a:extLst>
                <a:ext uri="{FF2B5EF4-FFF2-40B4-BE49-F238E27FC236}">
                  <a16:creationId xmlns:a16="http://schemas.microsoft.com/office/drawing/2014/main" id="{00000000-0008-0000-0800-000005000000}"/>
                </a:ext>
              </a:extLst>
            </xdr:cNvPr>
            <xdr:cNvSpPr/>
          </xdr:nvSpPr>
          <xdr:spPr>
            <a:xfrm>
              <a:off x="273364" y="11542374"/>
              <a:ext cx="10984742" cy="6913854"/>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 name="Grupo 5">
              <a:extLst>
                <a:ext uri="{FF2B5EF4-FFF2-40B4-BE49-F238E27FC236}">
                  <a16:creationId xmlns:a16="http://schemas.microsoft.com/office/drawing/2014/main" id="{00000000-0008-0000-0800-000006000000}"/>
                </a:ext>
              </a:extLst>
            </xdr:cNvPr>
            <xdr:cNvGrpSpPr/>
          </xdr:nvGrpSpPr>
          <xdr:grpSpPr>
            <a:xfrm>
              <a:off x="376735" y="11556241"/>
              <a:ext cx="10849832" cy="6841041"/>
              <a:chOff x="376735" y="11556241"/>
              <a:chExt cx="10849832" cy="6841041"/>
            </a:xfrm>
          </xdr:grpSpPr>
          <xdr:grpSp>
            <xdr:nvGrpSpPr>
              <xdr:cNvPr id="7" name="Grupo 6">
                <a:extLst>
                  <a:ext uri="{FF2B5EF4-FFF2-40B4-BE49-F238E27FC236}">
                    <a16:creationId xmlns:a16="http://schemas.microsoft.com/office/drawing/2014/main" id="{00000000-0008-0000-0800-000007000000}"/>
                  </a:ext>
                </a:extLst>
              </xdr:cNvPr>
              <xdr:cNvGrpSpPr/>
            </xdr:nvGrpSpPr>
            <xdr:grpSpPr>
              <a:xfrm>
                <a:off x="384917" y="11556241"/>
                <a:ext cx="10719120" cy="1639731"/>
                <a:chOff x="383720" y="11430000"/>
                <a:chExt cx="10721518" cy="1610348"/>
              </a:xfrm>
            </xdr:grpSpPr>
            <xdr:grpSp>
              <xdr:nvGrpSpPr>
                <xdr:cNvPr id="193" name="Grupo 192">
                  <a:extLst>
                    <a:ext uri="{FF2B5EF4-FFF2-40B4-BE49-F238E27FC236}">
                      <a16:creationId xmlns:a16="http://schemas.microsoft.com/office/drawing/2014/main" id="{00000000-0008-0000-0800-0000C1000000}"/>
                    </a:ext>
                  </a:extLst>
                </xdr:cNvPr>
                <xdr:cNvGrpSpPr/>
              </xdr:nvGrpSpPr>
              <xdr:grpSpPr>
                <a:xfrm>
                  <a:off x="383720" y="11430000"/>
                  <a:ext cx="720000" cy="1610348"/>
                  <a:chOff x="27391177" y="8324853"/>
                  <a:chExt cx="720000" cy="1610348"/>
                </a:xfrm>
              </xdr:grpSpPr>
              <xdr:sp macro="" textlink="">
                <xdr:nvSpPr>
                  <xdr:cNvPr id="231" name="Rectángulo 230">
                    <a:extLst>
                      <a:ext uri="{FF2B5EF4-FFF2-40B4-BE49-F238E27FC236}">
                        <a16:creationId xmlns:a16="http://schemas.microsoft.com/office/drawing/2014/main" id="{00000000-0008-0000-0800-0000E7000000}"/>
                      </a:ext>
                    </a:extLst>
                  </xdr:cNvPr>
                  <xdr:cNvSpPr/>
                </xdr:nvSpPr>
                <xdr:spPr>
                  <a:xfrm>
                    <a:off x="27391177" y="8450034"/>
                    <a:ext cx="720000"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32" name="CuadroTexto 231">
                    <a:extLst>
                      <a:ext uri="{FF2B5EF4-FFF2-40B4-BE49-F238E27FC236}">
                        <a16:creationId xmlns:a16="http://schemas.microsoft.com/office/drawing/2014/main" id="{00000000-0008-0000-0800-0000E8000000}"/>
                      </a:ext>
                    </a:extLst>
                  </xdr:cNvPr>
                  <xdr:cNvSpPr txBox="1"/>
                </xdr:nvSpPr>
                <xdr:spPr>
                  <a:xfrm rot="16200000">
                    <a:off x="26944324"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sp macro="" textlink="">
              <xdr:nvSpPr>
                <xdr:cNvPr id="194" name="Flecha abajo 193">
                  <a:extLst>
                    <a:ext uri="{FF2B5EF4-FFF2-40B4-BE49-F238E27FC236}">
                      <a16:creationId xmlns:a16="http://schemas.microsoft.com/office/drawing/2014/main" id="{00000000-0008-0000-0800-0000C2000000}"/>
                    </a:ext>
                  </a:extLst>
                </xdr:cNvPr>
                <xdr:cNvSpPr/>
              </xdr:nvSpPr>
              <xdr:spPr>
                <a:xfrm>
                  <a:off x="5788521" y="12722678"/>
                  <a:ext cx="468000" cy="288000"/>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95" name="Grupo 194">
                  <a:extLst>
                    <a:ext uri="{FF2B5EF4-FFF2-40B4-BE49-F238E27FC236}">
                      <a16:creationId xmlns:a16="http://schemas.microsoft.com/office/drawing/2014/main" id="{00000000-0008-0000-0800-0000C3000000}"/>
                    </a:ext>
                  </a:extLst>
                </xdr:cNvPr>
                <xdr:cNvGrpSpPr/>
              </xdr:nvGrpSpPr>
              <xdr:grpSpPr>
                <a:xfrm>
                  <a:off x="1202890" y="11911678"/>
                  <a:ext cx="2672123" cy="720001"/>
                  <a:chOff x="1202890" y="11911678"/>
                  <a:chExt cx="2672123" cy="720001"/>
                </a:xfrm>
              </xdr:grpSpPr>
              <xdr:grpSp>
                <xdr:nvGrpSpPr>
                  <xdr:cNvPr id="223" name="Grupo 222">
                    <a:extLst>
                      <a:ext uri="{FF2B5EF4-FFF2-40B4-BE49-F238E27FC236}">
                        <a16:creationId xmlns:a16="http://schemas.microsoft.com/office/drawing/2014/main" id="{00000000-0008-0000-0800-0000DF000000}"/>
                      </a:ext>
                    </a:extLst>
                  </xdr:cNvPr>
                  <xdr:cNvGrpSpPr/>
                </xdr:nvGrpSpPr>
                <xdr:grpSpPr>
                  <a:xfrm>
                    <a:off x="1202890" y="11911678"/>
                    <a:ext cx="2672123" cy="720001"/>
                    <a:chOff x="28670227" y="2081891"/>
                    <a:chExt cx="2474494" cy="585107"/>
                  </a:xfrm>
                </xdr:grpSpPr>
                <xdr:sp macro="" textlink="">
                  <xdr:nvSpPr>
                    <xdr:cNvPr id="228" name="Cheurón 227">
                      <a:extLst>
                        <a:ext uri="{FF2B5EF4-FFF2-40B4-BE49-F238E27FC236}">
                          <a16:creationId xmlns:a16="http://schemas.microsoft.com/office/drawing/2014/main" id="{00000000-0008-0000-0800-0000E4000000}"/>
                        </a:ext>
                      </a:extLst>
                    </xdr:cNvPr>
                    <xdr:cNvSpPr/>
                  </xdr:nvSpPr>
                  <xdr:spPr>
                    <a:xfrm>
                      <a:off x="28670227" y="2081891"/>
                      <a:ext cx="2433635"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29" name="CuadroTexto 228">
                      <a:extLst>
                        <a:ext uri="{FF2B5EF4-FFF2-40B4-BE49-F238E27FC236}">
                          <a16:creationId xmlns:a16="http://schemas.microsoft.com/office/drawing/2014/main" id="{00000000-0008-0000-0800-0000E5000000}"/>
                        </a:ext>
                      </a:extLst>
                    </xdr:cNvPr>
                    <xdr:cNvSpPr txBox="1"/>
                  </xdr:nvSpPr>
                  <xdr:spPr>
                    <a:xfrm>
                      <a:off x="28854757" y="2207661"/>
                      <a:ext cx="1586874"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sp macro="" textlink="$S$6">
                  <xdr:nvSpPr>
                    <xdr:cNvPr id="230" name="Rectángulo redondeado 229">
                      <a:extLst>
                        <a:ext uri="{FF2B5EF4-FFF2-40B4-BE49-F238E27FC236}">
                          <a16:creationId xmlns:a16="http://schemas.microsoft.com/office/drawing/2014/main" id="{00000000-0008-0000-0800-0000E6000000}"/>
                        </a:ext>
                      </a:extLst>
                    </xdr:cNvPr>
                    <xdr:cNvSpPr/>
                  </xdr:nvSpPr>
                  <xdr:spPr>
                    <a:xfrm>
                      <a:off x="30277946"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502EA5-E4AF-4CB0-A60E-29CE20AA7570}" type="TxLink">
                        <a:rPr lang="en-US" sz="1600" b="1" i="0" u="none" strike="noStrike">
                          <a:solidFill>
                            <a:srgbClr val="FFFF00"/>
                          </a:solidFill>
                          <a:latin typeface="Century Gothic"/>
                        </a:rPr>
                        <a:pPr algn="ctr"/>
                        <a:t>100,0%</a:t>
                      </a:fld>
                      <a:endParaRPr lang="es-CO" sz="1600">
                        <a:solidFill>
                          <a:srgbClr val="FFFF00"/>
                        </a:solidFill>
                      </a:endParaRPr>
                    </a:p>
                  </xdr:txBody>
                </xdr:sp>
              </xdr:grpSp>
              <xdr:grpSp>
                <xdr:nvGrpSpPr>
                  <xdr:cNvPr id="224" name="Grupo 223">
                    <a:extLst>
                      <a:ext uri="{FF2B5EF4-FFF2-40B4-BE49-F238E27FC236}">
                        <a16:creationId xmlns:a16="http://schemas.microsoft.com/office/drawing/2014/main" id="{00000000-0008-0000-0800-0000E0000000}"/>
                      </a:ext>
                    </a:extLst>
                  </xdr:cNvPr>
                  <xdr:cNvGrpSpPr/>
                </xdr:nvGrpSpPr>
                <xdr:grpSpPr>
                  <a:xfrm>
                    <a:off x="2947049" y="12351205"/>
                    <a:ext cx="770852" cy="272143"/>
                    <a:chOff x="2947049" y="12351205"/>
                    <a:chExt cx="770852" cy="272143"/>
                  </a:xfrm>
                </xdr:grpSpPr>
                <xdr:sp macro="" textlink="$K$6">
                  <xdr:nvSpPr>
                    <xdr:cNvPr id="225" name="Rectángulo 224">
                      <a:extLst>
                        <a:ext uri="{FF2B5EF4-FFF2-40B4-BE49-F238E27FC236}">
                          <a16:creationId xmlns:a16="http://schemas.microsoft.com/office/drawing/2014/main" id="{00000000-0008-0000-0800-0000E1000000}"/>
                        </a:ext>
                      </a:extLst>
                    </xdr:cNvPr>
                    <xdr:cNvSpPr/>
                  </xdr:nvSpPr>
                  <xdr:spPr>
                    <a:xfrm>
                      <a:off x="2982686" y="1235120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658EB88-255B-4CC5-B35A-2C06EECA47DE}"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J$6">
                  <xdr:nvSpPr>
                    <xdr:cNvPr id="226" name="Rectángulo 225">
                      <a:extLst>
                        <a:ext uri="{FF2B5EF4-FFF2-40B4-BE49-F238E27FC236}">
                          <a16:creationId xmlns:a16="http://schemas.microsoft.com/office/drawing/2014/main" id="{00000000-0008-0000-0800-0000E2000000}"/>
                        </a:ext>
                      </a:extLst>
                    </xdr:cNvPr>
                    <xdr:cNvSpPr/>
                  </xdr:nvSpPr>
                  <xdr:spPr>
                    <a:xfrm>
                      <a:off x="3267441" y="1235120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AD53F0-5C1B-4311-99A9-A461A0877824}"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
                  <xdr:nvSpPr>
                    <xdr:cNvPr id="227" name="CuadroTexto 226">
                      <a:extLst>
                        <a:ext uri="{FF2B5EF4-FFF2-40B4-BE49-F238E27FC236}">
                          <a16:creationId xmlns:a16="http://schemas.microsoft.com/office/drawing/2014/main" id="{00000000-0008-0000-0800-0000E3000000}"/>
                        </a:ext>
                      </a:extLst>
                    </xdr:cNvPr>
                    <xdr:cNvSpPr txBox="1"/>
                  </xdr:nvSpPr>
                  <xdr:spPr>
                    <a:xfrm>
                      <a:off x="2947049" y="1235601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96" name="Grupo 195">
                  <a:extLst>
                    <a:ext uri="{FF2B5EF4-FFF2-40B4-BE49-F238E27FC236}">
                      <a16:creationId xmlns:a16="http://schemas.microsoft.com/office/drawing/2014/main" id="{00000000-0008-0000-0800-0000C4000000}"/>
                    </a:ext>
                  </a:extLst>
                </xdr:cNvPr>
                <xdr:cNvGrpSpPr/>
              </xdr:nvGrpSpPr>
              <xdr:grpSpPr>
                <a:xfrm>
                  <a:off x="3627675" y="11900792"/>
                  <a:ext cx="2672103" cy="725279"/>
                  <a:chOff x="3627675" y="11900792"/>
                  <a:chExt cx="2672103" cy="725279"/>
                </a:xfrm>
              </xdr:grpSpPr>
              <xdr:grpSp>
                <xdr:nvGrpSpPr>
                  <xdr:cNvPr id="215" name="Grupo 214">
                    <a:extLst>
                      <a:ext uri="{FF2B5EF4-FFF2-40B4-BE49-F238E27FC236}">
                        <a16:creationId xmlns:a16="http://schemas.microsoft.com/office/drawing/2014/main" id="{00000000-0008-0000-0800-0000D7000000}"/>
                      </a:ext>
                    </a:extLst>
                  </xdr:cNvPr>
                  <xdr:cNvGrpSpPr/>
                </xdr:nvGrpSpPr>
                <xdr:grpSpPr>
                  <a:xfrm>
                    <a:off x="3627675" y="11900792"/>
                    <a:ext cx="2672103" cy="720000"/>
                    <a:chOff x="28594637" y="2081892"/>
                    <a:chExt cx="2474477" cy="585107"/>
                  </a:xfrm>
                </xdr:grpSpPr>
                <xdr:sp macro="" textlink="">
                  <xdr:nvSpPr>
                    <xdr:cNvPr id="220" name="Cheurón 219">
                      <a:extLst>
                        <a:ext uri="{FF2B5EF4-FFF2-40B4-BE49-F238E27FC236}">
                          <a16:creationId xmlns:a16="http://schemas.microsoft.com/office/drawing/2014/main" id="{00000000-0008-0000-0800-0000DC00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21" name="CuadroTexto 220">
                      <a:extLst>
                        <a:ext uri="{FF2B5EF4-FFF2-40B4-BE49-F238E27FC236}">
                          <a16:creationId xmlns:a16="http://schemas.microsoft.com/office/drawing/2014/main" id="{00000000-0008-0000-0800-0000DD000000}"/>
                        </a:ext>
                      </a:extLst>
                    </xdr:cNvPr>
                    <xdr:cNvSpPr txBox="1"/>
                  </xdr:nvSpPr>
                  <xdr:spPr>
                    <a:xfrm>
                      <a:off x="2880321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S$7">
                  <xdr:nvSpPr>
                    <xdr:cNvPr id="222" name="Rectángulo redondeado 221">
                      <a:extLst>
                        <a:ext uri="{FF2B5EF4-FFF2-40B4-BE49-F238E27FC236}">
                          <a16:creationId xmlns:a16="http://schemas.microsoft.com/office/drawing/2014/main" id="{00000000-0008-0000-0800-0000DE000000}"/>
                        </a:ext>
                      </a:extLst>
                    </xdr:cNvPr>
                    <xdr:cNvSpPr/>
                  </xdr:nvSpPr>
                  <xdr:spPr>
                    <a:xfrm>
                      <a:off x="3020233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2695697-7DC0-48CB-B073-27C4A0513A45}" type="TxLink">
                        <a:rPr lang="en-US" sz="1600" b="1" i="0" u="none" strike="noStrike">
                          <a:solidFill>
                            <a:srgbClr val="FFFF00"/>
                          </a:solidFill>
                          <a:latin typeface="Century Gothic"/>
                        </a:rPr>
                        <a:pPr algn="ctr"/>
                        <a:t>100,0%</a:t>
                      </a:fld>
                      <a:endParaRPr lang="es-CO" sz="1600">
                        <a:solidFill>
                          <a:srgbClr val="FFFF00"/>
                        </a:solidFill>
                      </a:endParaRPr>
                    </a:p>
                  </xdr:txBody>
                </xdr:sp>
              </xdr:grpSp>
              <xdr:grpSp>
                <xdr:nvGrpSpPr>
                  <xdr:cNvPr id="216" name="Grupo 215">
                    <a:extLst>
                      <a:ext uri="{FF2B5EF4-FFF2-40B4-BE49-F238E27FC236}">
                        <a16:creationId xmlns:a16="http://schemas.microsoft.com/office/drawing/2014/main" id="{00000000-0008-0000-0800-0000D8000000}"/>
                      </a:ext>
                    </a:extLst>
                  </xdr:cNvPr>
                  <xdr:cNvGrpSpPr/>
                </xdr:nvGrpSpPr>
                <xdr:grpSpPr>
                  <a:xfrm>
                    <a:off x="5369119" y="12347503"/>
                    <a:ext cx="770852" cy="278568"/>
                    <a:chOff x="5409940" y="12347503"/>
                    <a:chExt cx="770852" cy="278568"/>
                  </a:xfrm>
                </xdr:grpSpPr>
                <xdr:sp macro="" textlink="$K$7">
                  <xdr:nvSpPr>
                    <xdr:cNvPr id="217" name="Rectángulo 216">
                      <a:extLst>
                        <a:ext uri="{FF2B5EF4-FFF2-40B4-BE49-F238E27FC236}">
                          <a16:creationId xmlns:a16="http://schemas.microsoft.com/office/drawing/2014/main" id="{00000000-0008-0000-0800-0000D9000000}"/>
                        </a:ext>
                      </a:extLst>
                    </xdr:cNvPr>
                    <xdr:cNvSpPr/>
                  </xdr:nvSpPr>
                  <xdr:spPr>
                    <a:xfrm>
                      <a:off x="5434691" y="12353928"/>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5AE61E-9B7C-44F4-AC25-B0CB2E4D8EFD}"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J$7">
                  <xdr:nvSpPr>
                    <xdr:cNvPr id="218" name="Rectángulo 217">
                      <a:extLst>
                        <a:ext uri="{FF2B5EF4-FFF2-40B4-BE49-F238E27FC236}">
                          <a16:creationId xmlns:a16="http://schemas.microsoft.com/office/drawing/2014/main" id="{00000000-0008-0000-0800-0000DA000000}"/>
                        </a:ext>
                      </a:extLst>
                    </xdr:cNvPr>
                    <xdr:cNvSpPr/>
                  </xdr:nvSpPr>
                  <xdr:spPr>
                    <a:xfrm>
                      <a:off x="5710786" y="12353928"/>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3B32E77-7B42-450D-929C-4C548F89F3AF}"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
                  <xdr:nvSpPr>
                    <xdr:cNvPr id="219" name="CuadroTexto 218">
                      <a:extLst>
                        <a:ext uri="{FF2B5EF4-FFF2-40B4-BE49-F238E27FC236}">
                          <a16:creationId xmlns:a16="http://schemas.microsoft.com/office/drawing/2014/main" id="{00000000-0008-0000-0800-0000DB000000}"/>
                        </a:ext>
                      </a:extLst>
                    </xdr:cNvPr>
                    <xdr:cNvSpPr txBox="1"/>
                  </xdr:nvSpPr>
                  <xdr:spPr>
                    <a:xfrm>
                      <a:off x="5409940" y="1234750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97" name="Grupo 196">
                  <a:extLst>
                    <a:ext uri="{FF2B5EF4-FFF2-40B4-BE49-F238E27FC236}">
                      <a16:creationId xmlns:a16="http://schemas.microsoft.com/office/drawing/2014/main" id="{00000000-0008-0000-0800-0000C5000000}"/>
                    </a:ext>
                  </a:extLst>
                </xdr:cNvPr>
                <xdr:cNvGrpSpPr/>
              </xdr:nvGrpSpPr>
              <xdr:grpSpPr>
                <a:xfrm>
                  <a:off x="6052435" y="11903514"/>
                  <a:ext cx="2628000" cy="720000"/>
                  <a:chOff x="6052435" y="11903514"/>
                  <a:chExt cx="2628000" cy="720000"/>
                </a:xfrm>
              </xdr:grpSpPr>
              <xdr:grpSp>
                <xdr:nvGrpSpPr>
                  <xdr:cNvPr id="207" name="Grupo 206">
                    <a:extLst>
                      <a:ext uri="{FF2B5EF4-FFF2-40B4-BE49-F238E27FC236}">
                        <a16:creationId xmlns:a16="http://schemas.microsoft.com/office/drawing/2014/main" id="{00000000-0008-0000-0800-0000CF000000}"/>
                      </a:ext>
                    </a:extLst>
                  </xdr:cNvPr>
                  <xdr:cNvGrpSpPr/>
                </xdr:nvGrpSpPr>
                <xdr:grpSpPr>
                  <a:xfrm>
                    <a:off x="6052435" y="11903514"/>
                    <a:ext cx="2628000" cy="720000"/>
                    <a:chOff x="28531632" y="2081892"/>
                    <a:chExt cx="2433638" cy="585107"/>
                  </a:xfrm>
                </xdr:grpSpPr>
                <xdr:sp macro="" textlink="">
                  <xdr:nvSpPr>
                    <xdr:cNvPr id="212" name="Cheurón 211">
                      <a:extLst>
                        <a:ext uri="{FF2B5EF4-FFF2-40B4-BE49-F238E27FC236}">
                          <a16:creationId xmlns:a16="http://schemas.microsoft.com/office/drawing/2014/main" id="{00000000-0008-0000-0800-0000D400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13" name="CuadroTexto 212">
                      <a:extLst>
                        <a:ext uri="{FF2B5EF4-FFF2-40B4-BE49-F238E27FC236}">
                          <a16:creationId xmlns:a16="http://schemas.microsoft.com/office/drawing/2014/main" id="{00000000-0008-0000-0800-0000D5000000}"/>
                        </a:ext>
                      </a:extLst>
                    </xdr:cNvPr>
                    <xdr:cNvSpPr txBox="1"/>
                  </xdr:nvSpPr>
                  <xdr:spPr>
                    <a:xfrm>
                      <a:off x="28768454" y="2130485"/>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S$8">
                  <xdr:nvSpPr>
                    <xdr:cNvPr id="214" name="Rectángulo redondeado 213">
                      <a:extLst>
                        <a:ext uri="{FF2B5EF4-FFF2-40B4-BE49-F238E27FC236}">
                          <a16:creationId xmlns:a16="http://schemas.microsoft.com/office/drawing/2014/main" id="{00000000-0008-0000-0800-0000D6000000}"/>
                        </a:ext>
                      </a:extLst>
                    </xdr:cNvPr>
                    <xdr:cNvSpPr/>
                  </xdr:nvSpPr>
                  <xdr:spPr>
                    <a:xfrm>
                      <a:off x="300889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A5B2EA-87E8-4E20-81DA-B3056D10412D}" type="TxLink">
                        <a:rPr lang="en-US" sz="1600" b="1" i="0" u="none" strike="noStrike">
                          <a:solidFill>
                            <a:srgbClr val="FFFF00"/>
                          </a:solidFill>
                          <a:latin typeface="Century Gothic"/>
                        </a:rPr>
                        <a:pPr algn="ctr"/>
                        <a:t>-</a:t>
                      </a:fld>
                      <a:endParaRPr lang="es-CO" sz="2800">
                        <a:solidFill>
                          <a:srgbClr val="FFFF00"/>
                        </a:solidFill>
                      </a:endParaRPr>
                    </a:p>
                  </xdr:txBody>
                </xdr:sp>
              </xdr:grpSp>
              <xdr:grpSp>
                <xdr:nvGrpSpPr>
                  <xdr:cNvPr id="208" name="Grupo 207">
                    <a:extLst>
                      <a:ext uri="{FF2B5EF4-FFF2-40B4-BE49-F238E27FC236}">
                        <a16:creationId xmlns:a16="http://schemas.microsoft.com/office/drawing/2014/main" id="{00000000-0008-0000-0800-0000D0000000}"/>
                      </a:ext>
                    </a:extLst>
                  </xdr:cNvPr>
                  <xdr:cNvGrpSpPr/>
                </xdr:nvGrpSpPr>
                <xdr:grpSpPr>
                  <a:xfrm>
                    <a:off x="7791188" y="12335604"/>
                    <a:ext cx="770852" cy="279583"/>
                    <a:chOff x="7845616" y="12335604"/>
                    <a:chExt cx="770852" cy="279583"/>
                  </a:xfrm>
                </xdr:grpSpPr>
                <xdr:sp macro="" textlink="$K$8">
                  <xdr:nvSpPr>
                    <xdr:cNvPr id="209" name="Rectángulo 208">
                      <a:extLst>
                        <a:ext uri="{FF2B5EF4-FFF2-40B4-BE49-F238E27FC236}">
                          <a16:creationId xmlns:a16="http://schemas.microsoft.com/office/drawing/2014/main" id="{00000000-0008-0000-0800-0000D1000000}"/>
                        </a:ext>
                      </a:extLst>
                    </xdr:cNvPr>
                    <xdr:cNvSpPr/>
                  </xdr:nvSpPr>
                  <xdr:spPr>
                    <a:xfrm>
                      <a:off x="7873089"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83F2B96-C05A-4E6C-B17F-E01FC9DBB9BF}" type="TxLink">
                        <a:rPr lang="en-US" sz="1100" b="1" i="0" u="none" strike="noStrike">
                          <a:solidFill>
                            <a:srgbClr val="FFFF00"/>
                          </a:solidFill>
                          <a:latin typeface="Century Gothic"/>
                        </a:rPr>
                        <a:pPr algn="ctr"/>
                        <a:t>-</a:t>
                      </a:fld>
                      <a:endParaRPr lang="es-CO" sz="1200" b="1">
                        <a:solidFill>
                          <a:srgbClr val="FFFF00"/>
                        </a:solidFill>
                      </a:endParaRPr>
                    </a:p>
                  </xdr:txBody>
                </xdr:sp>
                <xdr:sp macro="" textlink="$J$8">
                  <xdr:nvSpPr>
                    <xdr:cNvPr id="210" name="Rectángulo 209">
                      <a:extLst>
                        <a:ext uri="{FF2B5EF4-FFF2-40B4-BE49-F238E27FC236}">
                          <a16:creationId xmlns:a16="http://schemas.microsoft.com/office/drawing/2014/main" id="{00000000-0008-0000-0800-0000D2000000}"/>
                        </a:ext>
                      </a:extLst>
                    </xdr:cNvPr>
                    <xdr:cNvSpPr/>
                  </xdr:nvSpPr>
                  <xdr:spPr>
                    <a:xfrm>
                      <a:off x="8149183"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7B128C7-AC54-4856-B656-7A4FE6FB05D4}" type="TxLink">
                        <a:rPr lang="en-US" sz="1100" b="1" i="0" u="none" strike="noStrike">
                          <a:solidFill>
                            <a:srgbClr val="FFFF00"/>
                          </a:solidFill>
                          <a:latin typeface="Century Gothic"/>
                        </a:rPr>
                        <a:pPr algn="ctr"/>
                        <a:t>0</a:t>
                      </a:fld>
                      <a:endParaRPr lang="es-CO" sz="1200" b="1">
                        <a:solidFill>
                          <a:srgbClr val="FFFF00"/>
                        </a:solidFill>
                      </a:endParaRPr>
                    </a:p>
                  </xdr:txBody>
                </xdr:sp>
                <xdr:sp macro="" textlink="">
                  <xdr:nvSpPr>
                    <xdr:cNvPr id="211" name="CuadroTexto 210">
                      <a:extLst>
                        <a:ext uri="{FF2B5EF4-FFF2-40B4-BE49-F238E27FC236}">
                          <a16:creationId xmlns:a16="http://schemas.microsoft.com/office/drawing/2014/main" id="{00000000-0008-0000-0800-0000D3000000}"/>
                        </a:ext>
                      </a:extLst>
                    </xdr:cNvPr>
                    <xdr:cNvSpPr txBox="1"/>
                  </xdr:nvSpPr>
                  <xdr:spPr>
                    <a:xfrm>
                      <a:off x="7845616" y="1233560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98" name="Grupo 197">
                  <a:extLst>
                    <a:ext uri="{FF2B5EF4-FFF2-40B4-BE49-F238E27FC236}">
                      <a16:creationId xmlns:a16="http://schemas.microsoft.com/office/drawing/2014/main" id="{00000000-0008-0000-0800-0000C6000000}"/>
                    </a:ext>
                  </a:extLst>
                </xdr:cNvPr>
                <xdr:cNvGrpSpPr/>
              </xdr:nvGrpSpPr>
              <xdr:grpSpPr>
                <a:xfrm>
                  <a:off x="8477237" y="11906236"/>
                  <a:ext cx="2628001" cy="720000"/>
                  <a:chOff x="8477237" y="11906236"/>
                  <a:chExt cx="2628001" cy="720000"/>
                </a:xfrm>
              </xdr:grpSpPr>
              <xdr:grpSp>
                <xdr:nvGrpSpPr>
                  <xdr:cNvPr id="199" name="Grupo 198">
                    <a:extLst>
                      <a:ext uri="{FF2B5EF4-FFF2-40B4-BE49-F238E27FC236}">
                        <a16:creationId xmlns:a16="http://schemas.microsoft.com/office/drawing/2014/main" id="{00000000-0008-0000-0800-0000C7000000}"/>
                      </a:ext>
                    </a:extLst>
                  </xdr:cNvPr>
                  <xdr:cNvGrpSpPr/>
                </xdr:nvGrpSpPr>
                <xdr:grpSpPr>
                  <a:xfrm>
                    <a:off x="8477237" y="11906236"/>
                    <a:ext cx="2628001" cy="720000"/>
                    <a:chOff x="28468627" y="2081892"/>
                    <a:chExt cx="2433638" cy="585107"/>
                  </a:xfrm>
                </xdr:grpSpPr>
                <xdr:sp macro="" textlink="">
                  <xdr:nvSpPr>
                    <xdr:cNvPr id="204" name="Cheurón 203">
                      <a:extLst>
                        <a:ext uri="{FF2B5EF4-FFF2-40B4-BE49-F238E27FC236}">
                          <a16:creationId xmlns:a16="http://schemas.microsoft.com/office/drawing/2014/main" id="{00000000-0008-0000-0800-0000CC00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5" name="CuadroTexto 204">
                      <a:extLst>
                        <a:ext uri="{FF2B5EF4-FFF2-40B4-BE49-F238E27FC236}">
                          <a16:creationId xmlns:a16="http://schemas.microsoft.com/office/drawing/2014/main" id="{00000000-0008-0000-0800-0000CD000000}"/>
                        </a:ext>
                      </a:extLst>
                    </xdr:cNvPr>
                    <xdr:cNvSpPr txBox="1"/>
                  </xdr:nvSpPr>
                  <xdr:spPr>
                    <a:xfrm>
                      <a:off x="28773454"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S$9">
                  <xdr:nvSpPr>
                    <xdr:cNvPr id="206" name="Rectángulo redondeado 205">
                      <a:extLst>
                        <a:ext uri="{FF2B5EF4-FFF2-40B4-BE49-F238E27FC236}">
                          <a16:creationId xmlns:a16="http://schemas.microsoft.com/office/drawing/2014/main" id="{00000000-0008-0000-0800-0000CE000000}"/>
                        </a:ext>
                      </a:extLst>
                    </xdr:cNvPr>
                    <xdr:cNvSpPr/>
                  </xdr:nvSpPr>
                  <xdr:spPr>
                    <a:xfrm>
                      <a:off x="29988128" y="2157577"/>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B943DD-91BC-46EC-BB55-D1CE6444C32F}" type="TxLink">
                        <a:rPr lang="en-US" sz="1600" b="1" i="0" u="none" strike="noStrike">
                          <a:solidFill>
                            <a:srgbClr val="FFFF00"/>
                          </a:solidFill>
                          <a:latin typeface="Century Gothic"/>
                        </a:rPr>
                        <a:pPr algn="ctr"/>
                        <a:t>33,3%</a:t>
                      </a:fld>
                      <a:endParaRPr lang="es-CO" sz="1600">
                        <a:solidFill>
                          <a:srgbClr val="FFFF00"/>
                        </a:solidFill>
                      </a:endParaRPr>
                    </a:p>
                  </xdr:txBody>
                </xdr:sp>
              </xdr:grpSp>
              <xdr:grpSp>
                <xdr:nvGrpSpPr>
                  <xdr:cNvPr id="200" name="Grupo 199">
                    <a:extLst>
                      <a:ext uri="{FF2B5EF4-FFF2-40B4-BE49-F238E27FC236}">
                        <a16:creationId xmlns:a16="http://schemas.microsoft.com/office/drawing/2014/main" id="{00000000-0008-0000-0800-0000C8000000}"/>
                      </a:ext>
                    </a:extLst>
                  </xdr:cNvPr>
                  <xdr:cNvGrpSpPr/>
                </xdr:nvGrpSpPr>
                <xdr:grpSpPr>
                  <a:xfrm>
                    <a:off x="10122954" y="12339010"/>
                    <a:ext cx="770852" cy="278900"/>
                    <a:chOff x="10109347" y="12339010"/>
                    <a:chExt cx="770852" cy="278900"/>
                  </a:xfrm>
                </xdr:grpSpPr>
                <xdr:sp macro="" textlink="$K$9">
                  <xdr:nvSpPr>
                    <xdr:cNvPr id="201" name="Rectángulo 200">
                      <a:extLst>
                        <a:ext uri="{FF2B5EF4-FFF2-40B4-BE49-F238E27FC236}">
                          <a16:creationId xmlns:a16="http://schemas.microsoft.com/office/drawing/2014/main" id="{00000000-0008-0000-0800-0000C9000000}"/>
                        </a:ext>
                      </a:extLst>
                    </xdr:cNvPr>
                    <xdr:cNvSpPr/>
                  </xdr:nvSpPr>
                  <xdr:spPr>
                    <a:xfrm>
                      <a:off x="10148201"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40F130-7769-4A21-B4F9-89B48C51AC34}" type="TxLink">
                        <a:rPr lang="en-US" sz="1100" b="1" i="0" u="none" strike="noStrike">
                          <a:solidFill>
                            <a:srgbClr val="FFFF00"/>
                          </a:solidFill>
                          <a:latin typeface="Century Gothic"/>
                        </a:rPr>
                        <a:pPr algn="ctr"/>
                        <a:t>2</a:t>
                      </a:fld>
                      <a:endParaRPr lang="es-CO" sz="1400" b="1">
                        <a:solidFill>
                          <a:srgbClr val="FFFF00"/>
                        </a:solidFill>
                      </a:endParaRPr>
                    </a:p>
                  </xdr:txBody>
                </xdr:sp>
                <xdr:sp macro="" textlink="$J$9">
                  <xdr:nvSpPr>
                    <xdr:cNvPr id="202" name="Rectángulo 201">
                      <a:extLst>
                        <a:ext uri="{FF2B5EF4-FFF2-40B4-BE49-F238E27FC236}">
                          <a16:creationId xmlns:a16="http://schemas.microsoft.com/office/drawing/2014/main" id="{00000000-0008-0000-0800-0000CA000000}"/>
                        </a:ext>
                      </a:extLst>
                    </xdr:cNvPr>
                    <xdr:cNvSpPr/>
                  </xdr:nvSpPr>
                  <xdr:spPr>
                    <a:xfrm>
                      <a:off x="10424295"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2712BF-91B0-4BF1-BDA4-BB50B582F37C}" type="TxLink">
                        <a:rPr lang="en-US" sz="1100" b="1" i="0" u="none" strike="noStrike">
                          <a:solidFill>
                            <a:srgbClr val="FFFF00"/>
                          </a:solidFill>
                          <a:latin typeface="Century Gothic"/>
                        </a:rPr>
                        <a:pPr algn="ctr"/>
                        <a:t>6</a:t>
                      </a:fld>
                      <a:endParaRPr lang="es-CO" sz="1400" b="1">
                        <a:solidFill>
                          <a:srgbClr val="FFFF00"/>
                        </a:solidFill>
                      </a:endParaRPr>
                    </a:p>
                  </xdr:txBody>
                </xdr:sp>
                <xdr:sp macro="" textlink="">
                  <xdr:nvSpPr>
                    <xdr:cNvPr id="203" name="CuadroTexto 202">
                      <a:extLst>
                        <a:ext uri="{FF2B5EF4-FFF2-40B4-BE49-F238E27FC236}">
                          <a16:creationId xmlns:a16="http://schemas.microsoft.com/office/drawing/2014/main" id="{00000000-0008-0000-0800-0000CB000000}"/>
                        </a:ext>
                      </a:extLst>
                    </xdr:cNvPr>
                    <xdr:cNvSpPr txBox="1"/>
                  </xdr:nvSpPr>
                  <xdr:spPr>
                    <a:xfrm>
                      <a:off x="10109347" y="12339010"/>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8" name="Grupo 7">
                <a:extLst>
                  <a:ext uri="{FF2B5EF4-FFF2-40B4-BE49-F238E27FC236}">
                    <a16:creationId xmlns:a16="http://schemas.microsoft.com/office/drawing/2014/main" id="{00000000-0008-0000-0800-000008000000}"/>
                  </a:ext>
                </a:extLst>
              </xdr:cNvPr>
              <xdr:cNvGrpSpPr/>
            </xdr:nvGrpSpPr>
            <xdr:grpSpPr>
              <a:xfrm>
                <a:off x="382195" y="13257662"/>
                <a:ext cx="10776885" cy="1542369"/>
                <a:chOff x="380997" y="13100930"/>
                <a:chExt cx="10779296" cy="1514730"/>
              </a:xfrm>
            </xdr:grpSpPr>
            <xdr:grpSp>
              <xdr:nvGrpSpPr>
                <xdr:cNvPr id="100" name="Grupo 99">
                  <a:extLst>
                    <a:ext uri="{FF2B5EF4-FFF2-40B4-BE49-F238E27FC236}">
                      <a16:creationId xmlns:a16="http://schemas.microsoft.com/office/drawing/2014/main" id="{00000000-0008-0000-0800-000064000000}"/>
                    </a:ext>
                  </a:extLst>
                </xdr:cNvPr>
                <xdr:cNvGrpSpPr/>
              </xdr:nvGrpSpPr>
              <xdr:grpSpPr>
                <a:xfrm>
                  <a:off x="380997" y="13103660"/>
                  <a:ext cx="720000" cy="1512000"/>
                  <a:chOff x="27391177" y="8354785"/>
                  <a:chExt cx="720000" cy="1512000"/>
                </a:xfrm>
              </xdr:grpSpPr>
              <xdr:sp macro="" textlink="">
                <xdr:nvSpPr>
                  <xdr:cNvPr id="191" name="Rectángulo 190">
                    <a:extLst>
                      <a:ext uri="{FF2B5EF4-FFF2-40B4-BE49-F238E27FC236}">
                        <a16:creationId xmlns:a16="http://schemas.microsoft.com/office/drawing/2014/main" id="{00000000-0008-0000-0800-0000BF000000}"/>
                      </a:ext>
                    </a:extLst>
                  </xdr:cNvPr>
                  <xdr:cNvSpPr/>
                </xdr:nvSpPr>
                <xdr:spPr>
                  <a:xfrm>
                    <a:off x="27391177" y="8354785"/>
                    <a:ext cx="72000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92" name="CuadroTexto 191">
                    <a:extLst>
                      <a:ext uri="{FF2B5EF4-FFF2-40B4-BE49-F238E27FC236}">
                        <a16:creationId xmlns:a16="http://schemas.microsoft.com/office/drawing/2014/main" id="{00000000-0008-0000-0800-0000C0000000}"/>
                      </a:ext>
                    </a:extLst>
                  </xdr:cNvPr>
                  <xdr:cNvSpPr txBox="1"/>
                </xdr:nvSpPr>
                <xdr:spPr>
                  <a:xfrm rot="16200000">
                    <a:off x="27132645"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101" name="Grupo 100">
                  <a:extLst>
                    <a:ext uri="{FF2B5EF4-FFF2-40B4-BE49-F238E27FC236}">
                      <a16:creationId xmlns:a16="http://schemas.microsoft.com/office/drawing/2014/main" id="{00000000-0008-0000-0800-000065000000}"/>
                    </a:ext>
                  </a:extLst>
                </xdr:cNvPr>
                <xdr:cNvGrpSpPr/>
              </xdr:nvGrpSpPr>
              <xdr:grpSpPr>
                <a:xfrm>
                  <a:off x="1197505" y="13103645"/>
                  <a:ext cx="2160005" cy="728022"/>
                  <a:chOff x="1197505" y="13103645"/>
                  <a:chExt cx="2160005" cy="728022"/>
                </a:xfrm>
              </xdr:grpSpPr>
              <xdr:grpSp>
                <xdr:nvGrpSpPr>
                  <xdr:cNvPr id="183" name="Grupo 182">
                    <a:extLst>
                      <a:ext uri="{FF2B5EF4-FFF2-40B4-BE49-F238E27FC236}">
                        <a16:creationId xmlns:a16="http://schemas.microsoft.com/office/drawing/2014/main" id="{00000000-0008-0000-0800-0000B7000000}"/>
                      </a:ext>
                    </a:extLst>
                  </xdr:cNvPr>
                  <xdr:cNvGrpSpPr/>
                </xdr:nvGrpSpPr>
                <xdr:grpSpPr>
                  <a:xfrm>
                    <a:off x="1197505" y="13103645"/>
                    <a:ext cx="2160005" cy="720000"/>
                    <a:chOff x="28670251" y="2081892"/>
                    <a:chExt cx="2000250" cy="585107"/>
                  </a:xfrm>
                </xdr:grpSpPr>
                <xdr:sp macro="" textlink="">
                  <xdr:nvSpPr>
                    <xdr:cNvPr id="188" name="Cheurón 187">
                      <a:extLst>
                        <a:ext uri="{FF2B5EF4-FFF2-40B4-BE49-F238E27FC236}">
                          <a16:creationId xmlns:a16="http://schemas.microsoft.com/office/drawing/2014/main" id="{00000000-0008-0000-0800-0000BC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9" name="CuadroTexto 188">
                      <a:extLst>
                        <a:ext uri="{FF2B5EF4-FFF2-40B4-BE49-F238E27FC236}">
                          <a16:creationId xmlns:a16="http://schemas.microsoft.com/office/drawing/2014/main" id="{00000000-0008-0000-0800-0000BD000000}"/>
                        </a:ext>
                      </a:extLst>
                    </xdr:cNvPr>
                    <xdr:cNvSpPr txBox="1"/>
                  </xdr:nvSpPr>
                  <xdr:spPr>
                    <a:xfrm>
                      <a:off x="28846736" y="2166613"/>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S$10">
                  <xdr:nvSpPr>
                    <xdr:cNvPr id="190" name="Rectángulo redondeado 189">
                      <a:extLst>
                        <a:ext uri="{FF2B5EF4-FFF2-40B4-BE49-F238E27FC236}">
                          <a16:creationId xmlns:a16="http://schemas.microsoft.com/office/drawing/2014/main" id="{00000000-0008-0000-0800-0000BE000000}"/>
                        </a:ext>
                      </a:extLst>
                    </xdr:cNvPr>
                    <xdr:cNvSpPr/>
                  </xdr:nvSpPr>
                  <xdr:spPr>
                    <a:xfrm>
                      <a:off x="297991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0D7B4A-6D6C-480C-B955-CDABAA9BC226}" type="TxLink">
                        <a:rPr lang="en-US" sz="1600" b="1" i="0" u="none" strike="noStrike">
                          <a:solidFill>
                            <a:srgbClr val="FFFF00"/>
                          </a:solidFill>
                          <a:latin typeface="Century Gothic"/>
                        </a:rPr>
                        <a:pPr algn="ctr"/>
                        <a:t>66,7%</a:t>
                      </a:fld>
                      <a:endParaRPr lang="es-CO" sz="1600">
                        <a:solidFill>
                          <a:srgbClr val="FFFF00"/>
                        </a:solidFill>
                      </a:endParaRPr>
                    </a:p>
                  </xdr:txBody>
                </xdr:sp>
              </xdr:grpSp>
              <xdr:grpSp>
                <xdr:nvGrpSpPr>
                  <xdr:cNvPr id="184" name="Grupo 183">
                    <a:extLst>
                      <a:ext uri="{FF2B5EF4-FFF2-40B4-BE49-F238E27FC236}">
                        <a16:creationId xmlns:a16="http://schemas.microsoft.com/office/drawing/2014/main" id="{00000000-0008-0000-0800-0000B8000000}"/>
                      </a:ext>
                    </a:extLst>
                  </xdr:cNvPr>
                  <xdr:cNvGrpSpPr/>
                </xdr:nvGrpSpPr>
                <xdr:grpSpPr>
                  <a:xfrm>
                    <a:off x="2429979" y="13550046"/>
                    <a:ext cx="770852" cy="281621"/>
                    <a:chOff x="2429979" y="13550046"/>
                    <a:chExt cx="770852" cy="281621"/>
                  </a:xfrm>
                </xdr:grpSpPr>
                <xdr:sp macro="" textlink="$K$10">
                  <xdr:nvSpPr>
                    <xdr:cNvPr id="185" name="Rectángulo 184">
                      <a:extLst>
                        <a:ext uri="{FF2B5EF4-FFF2-40B4-BE49-F238E27FC236}">
                          <a16:creationId xmlns:a16="http://schemas.microsoft.com/office/drawing/2014/main" id="{00000000-0008-0000-0800-0000B9000000}"/>
                        </a:ext>
                      </a:extLst>
                    </xdr:cNvPr>
                    <xdr:cNvSpPr/>
                  </xdr:nvSpPr>
                  <xdr:spPr>
                    <a:xfrm>
                      <a:off x="2462887"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3696C5-91FD-4FF2-B112-A0D81278964D}" type="TxLink">
                        <a:rPr lang="en-US" sz="1100" b="1" i="0" u="none" strike="noStrike">
                          <a:solidFill>
                            <a:srgbClr val="FFFF00"/>
                          </a:solidFill>
                          <a:latin typeface="Century Gothic"/>
                        </a:rPr>
                        <a:pPr algn="ctr"/>
                        <a:t>2</a:t>
                      </a:fld>
                      <a:endParaRPr lang="es-CO" sz="1600" b="1">
                        <a:solidFill>
                          <a:srgbClr val="FFFF00"/>
                        </a:solidFill>
                      </a:endParaRPr>
                    </a:p>
                  </xdr:txBody>
                </xdr:sp>
                <xdr:sp macro="" textlink="$J$10">
                  <xdr:nvSpPr>
                    <xdr:cNvPr id="186" name="Rectángulo 185">
                      <a:extLst>
                        <a:ext uri="{FF2B5EF4-FFF2-40B4-BE49-F238E27FC236}">
                          <a16:creationId xmlns:a16="http://schemas.microsoft.com/office/drawing/2014/main" id="{00000000-0008-0000-0800-0000BA000000}"/>
                        </a:ext>
                      </a:extLst>
                    </xdr:cNvPr>
                    <xdr:cNvSpPr/>
                  </xdr:nvSpPr>
                  <xdr:spPr>
                    <a:xfrm>
                      <a:off x="2738981"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9E9F63B-5A21-4F05-97D9-82240AD55A9B}" type="TxLink">
                        <a:rPr lang="en-US" sz="1100" b="1" i="0" u="none" strike="noStrike">
                          <a:solidFill>
                            <a:srgbClr val="FFFF00"/>
                          </a:solidFill>
                          <a:latin typeface="Century Gothic"/>
                        </a:rPr>
                        <a:pPr algn="ctr"/>
                        <a:t>3</a:t>
                      </a:fld>
                      <a:endParaRPr lang="es-CO" sz="1600" b="1">
                        <a:solidFill>
                          <a:srgbClr val="FFFF00"/>
                        </a:solidFill>
                      </a:endParaRPr>
                    </a:p>
                  </xdr:txBody>
                </xdr:sp>
                <xdr:sp macro="" textlink="">
                  <xdr:nvSpPr>
                    <xdr:cNvPr id="187" name="CuadroTexto 186">
                      <a:extLst>
                        <a:ext uri="{FF2B5EF4-FFF2-40B4-BE49-F238E27FC236}">
                          <a16:creationId xmlns:a16="http://schemas.microsoft.com/office/drawing/2014/main" id="{00000000-0008-0000-0800-0000BB000000}"/>
                        </a:ext>
                      </a:extLst>
                    </xdr:cNvPr>
                    <xdr:cNvSpPr txBox="1"/>
                  </xdr:nvSpPr>
                  <xdr:spPr>
                    <a:xfrm>
                      <a:off x="2429979" y="1355004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2" name="Grupo 101">
                  <a:extLst>
                    <a:ext uri="{FF2B5EF4-FFF2-40B4-BE49-F238E27FC236}">
                      <a16:creationId xmlns:a16="http://schemas.microsoft.com/office/drawing/2014/main" id="{00000000-0008-0000-0800-000066000000}"/>
                    </a:ext>
                  </a:extLst>
                </xdr:cNvPr>
                <xdr:cNvGrpSpPr/>
              </xdr:nvGrpSpPr>
              <xdr:grpSpPr>
                <a:xfrm>
                  <a:off x="3159656" y="13106368"/>
                  <a:ext cx="2195848" cy="720000"/>
                  <a:chOff x="3159656" y="13106368"/>
                  <a:chExt cx="2195848" cy="720000"/>
                </a:xfrm>
              </xdr:grpSpPr>
              <xdr:grpSp>
                <xdr:nvGrpSpPr>
                  <xdr:cNvPr id="175" name="Grupo 174">
                    <a:extLst>
                      <a:ext uri="{FF2B5EF4-FFF2-40B4-BE49-F238E27FC236}">
                        <a16:creationId xmlns:a16="http://schemas.microsoft.com/office/drawing/2014/main" id="{00000000-0008-0000-0800-0000AF000000}"/>
                      </a:ext>
                    </a:extLst>
                  </xdr:cNvPr>
                  <xdr:cNvGrpSpPr/>
                </xdr:nvGrpSpPr>
                <xdr:grpSpPr>
                  <a:xfrm>
                    <a:off x="3159656" y="13106368"/>
                    <a:ext cx="2195848" cy="720000"/>
                    <a:chOff x="28670251" y="2081892"/>
                    <a:chExt cx="2033442" cy="585107"/>
                  </a:xfrm>
                </xdr:grpSpPr>
                <xdr:sp macro="" textlink="">
                  <xdr:nvSpPr>
                    <xdr:cNvPr id="180" name="Cheurón 179">
                      <a:extLst>
                        <a:ext uri="{FF2B5EF4-FFF2-40B4-BE49-F238E27FC236}">
                          <a16:creationId xmlns:a16="http://schemas.microsoft.com/office/drawing/2014/main" id="{00000000-0008-0000-0800-0000B4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1" name="CuadroTexto 180">
                      <a:extLst>
                        <a:ext uri="{FF2B5EF4-FFF2-40B4-BE49-F238E27FC236}">
                          <a16:creationId xmlns:a16="http://schemas.microsoft.com/office/drawing/2014/main" id="{00000000-0008-0000-0800-0000B5000000}"/>
                        </a:ext>
                      </a:extLst>
                    </xdr:cNvPr>
                    <xdr:cNvSpPr txBox="1"/>
                  </xdr:nvSpPr>
                  <xdr:spPr>
                    <a:xfrm>
                      <a:off x="28843624" y="2159702"/>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S$11">
                  <xdr:nvSpPr>
                    <xdr:cNvPr id="182" name="Rectángulo redondeado 181">
                      <a:extLst>
                        <a:ext uri="{FF2B5EF4-FFF2-40B4-BE49-F238E27FC236}">
                          <a16:creationId xmlns:a16="http://schemas.microsoft.com/office/drawing/2014/main" id="{00000000-0008-0000-0800-0000B6000000}"/>
                        </a:ext>
                      </a:extLst>
                    </xdr:cNvPr>
                    <xdr:cNvSpPr/>
                  </xdr:nvSpPr>
                  <xdr:spPr>
                    <a:xfrm>
                      <a:off x="29836919" y="2179693"/>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5F665B-B594-4379-AE59-E6872E3D2C9D}"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76" name="Grupo 175">
                    <a:extLst>
                      <a:ext uri="{FF2B5EF4-FFF2-40B4-BE49-F238E27FC236}">
                        <a16:creationId xmlns:a16="http://schemas.microsoft.com/office/drawing/2014/main" id="{00000000-0008-0000-0800-0000B0000000}"/>
                      </a:ext>
                    </a:extLst>
                  </xdr:cNvPr>
                  <xdr:cNvGrpSpPr/>
                </xdr:nvGrpSpPr>
                <xdr:grpSpPr>
                  <a:xfrm>
                    <a:off x="4416617" y="13536434"/>
                    <a:ext cx="770852" cy="284349"/>
                    <a:chOff x="4416617" y="13536434"/>
                    <a:chExt cx="770852" cy="284349"/>
                  </a:xfrm>
                </xdr:grpSpPr>
                <xdr:sp macro="" textlink="$K$11">
                  <xdr:nvSpPr>
                    <xdr:cNvPr id="177" name="Rectángulo 176">
                      <a:extLst>
                        <a:ext uri="{FF2B5EF4-FFF2-40B4-BE49-F238E27FC236}">
                          <a16:creationId xmlns:a16="http://schemas.microsoft.com/office/drawing/2014/main" id="{00000000-0008-0000-0800-0000B1000000}"/>
                        </a:ext>
                      </a:extLst>
                    </xdr:cNvPr>
                    <xdr:cNvSpPr/>
                  </xdr:nvSpPr>
                  <xdr:spPr>
                    <a:xfrm>
                      <a:off x="4452250" y="135486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E953BC-1753-4935-9202-7E4B1B8CA915}" type="TxLink">
                        <a:rPr lang="en-US" sz="1100" b="1" i="0" u="none" strike="noStrike">
                          <a:solidFill>
                            <a:srgbClr val="FFFF00"/>
                          </a:solidFill>
                          <a:latin typeface="Century Gothic"/>
                        </a:rPr>
                        <a:pPr algn="ctr"/>
                        <a:t>1</a:t>
                      </a:fld>
                      <a:endParaRPr lang="es-CO" sz="1800" b="1">
                        <a:solidFill>
                          <a:srgbClr val="FFFF00"/>
                        </a:solidFill>
                      </a:endParaRPr>
                    </a:p>
                  </xdr:txBody>
                </xdr:sp>
                <xdr:sp macro="" textlink="$J$11">
                  <xdr:nvSpPr>
                    <xdr:cNvPr id="178" name="Rectángulo 177">
                      <a:extLst>
                        <a:ext uri="{FF2B5EF4-FFF2-40B4-BE49-F238E27FC236}">
                          <a16:creationId xmlns:a16="http://schemas.microsoft.com/office/drawing/2014/main" id="{00000000-0008-0000-0800-0000B2000000}"/>
                        </a:ext>
                      </a:extLst>
                    </xdr:cNvPr>
                    <xdr:cNvSpPr/>
                  </xdr:nvSpPr>
                  <xdr:spPr>
                    <a:xfrm>
                      <a:off x="4728345" y="135486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60BBF8-502D-45C2-BAA0-A7B0D1A5FEB6}" type="TxLink">
                        <a:rPr lang="en-US" sz="1100" b="1" i="0" u="none" strike="noStrike">
                          <a:solidFill>
                            <a:srgbClr val="FFFF00"/>
                          </a:solidFill>
                          <a:latin typeface="Century Gothic"/>
                        </a:rPr>
                        <a:pPr algn="ctr"/>
                        <a:t>1</a:t>
                      </a:fld>
                      <a:endParaRPr lang="es-CO" sz="1800" b="1">
                        <a:solidFill>
                          <a:srgbClr val="FFFF00"/>
                        </a:solidFill>
                      </a:endParaRPr>
                    </a:p>
                  </xdr:txBody>
                </xdr:sp>
                <xdr:sp macro="" textlink="">
                  <xdr:nvSpPr>
                    <xdr:cNvPr id="179" name="CuadroTexto 178">
                      <a:extLst>
                        <a:ext uri="{FF2B5EF4-FFF2-40B4-BE49-F238E27FC236}">
                          <a16:creationId xmlns:a16="http://schemas.microsoft.com/office/drawing/2014/main" id="{00000000-0008-0000-0800-0000B3000000}"/>
                        </a:ext>
                      </a:extLst>
                    </xdr:cNvPr>
                    <xdr:cNvSpPr txBox="1"/>
                  </xdr:nvSpPr>
                  <xdr:spPr>
                    <a:xfrm>
                      <a:off x="4416617" y="1353643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3" name="Grupo 102">
                  <a:extLst>
                    <a:ext uri="{FF2B5EF4-FFF2-40B4-BE49-F238E27FC236}">
                      <a16:creationId xmlns:a16="http://schemas.microsoft.com/office/drawing/2014/main" id="{00000000-0008-0000-0800-000067000000}"/>
                    </a:ext>
                  </a:extLst>
                </xdr:cNvPr>
                <xdr:cNvGrpSpPr/>
              </xdr:nvGrpSpPr>
              <xdr:grpSpPr>
                <a:xfrm>
                  <a:off x="5121794" y="13109091"/>
                  <a:ext cx="2182243" cy="720000"/>
                  <a:chOff x="5121794" y="13109091"/>
                  <a:chExt cx="2182243" cy="720000"/>
                </a:xfrm>
              </xdr:grpSpPr>
              <xdr:grpSp>
                <xdr:nvGrpSpPr>
                  <xdr:cNvPr id="167" name="Grupo 166">
                    <a:extLst>
                      <a:ext uri="{FF2B5EF4-FFF2-40B4-BE49-F238E27FC236}">
                        <a16:creationId xmlns:a16="http://schemas.microsoft.com/office/drawing/2014/main" id="{00000000-0008-0000-0800-0000A7000000}"/>
                      </a:ext>
                    </a:extLst>
                  </xdr:cNvPr>
                  <xdr:cNvGrpSpPr/>
                </xdr:nvGrpSpPr>
                <xdr:grpSpPr>
                  <a:xfrm>
                    <a:off x="5121794" y="13109091"/>
                    <a:ext cx="2182243" cy="720000"/>
                    <a:chOff x="28670251" y="2081892"/>
                    <a:chExt cx="2020844" cy="585107"/>
                  </a:xfrm>
                </xdr:grpSpPr>
                <xdr:sp macro="" textlink="">
                  <xdr:nvSpPr>
                    <xdr:cNvPr id="172" name="Cheurón 171">
                      <a:extLst>
                        <a:ext uri="{FF2B5EF4-FFF2-40B4-BE49-F238E27FC236}">
                          <a16:creationId xmlns:a16="http://schemas.microsoft.com/office/drawing/2014/main" id="{00000000-0008-0000-0800-0000AC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73" name="CuadroTexto 172">
                      <a:extLst>
                        <a:ext uri="{FF2B5EF4-FFF2-40B4-BE49-F238E27FC236}">
                          <a16:creationId xmlns:a16="http://schemas.microsoft.com/office/drawing/2014/main" id="{00000000-0008-0000-0800-0000AD000000}"/>
                        </a:ext>
                      </a:extLst>
                    </xdr:cNvPr>
                    <xdr:cNvSpPr txBox="1"/>
                  </xdr:nvSpPr>
                  <xdr:spPr>
                    <a:xfrm>
                      <a:off x="28864817" y="2159702"/>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S$12">
                  <xdr:nvSpPr>
                    <xdr:cNvPr id="174" name="Rectángulo redondeado 173">
                      <a:extLst>
                        <a:ext uri="{FF2B5EF4-FFF2-40B4-BE49-F238E27FC236}">
                          <a16:creationId xmlns:a16="http://schemas.microsoft.com/office/drawing/2014/main" id="{00000000-0008-0000-0800-0000AE000000}"/>
                        </a:ext>
                      </a:extLst>
                    </xdr:cNvPr>
                    <xdr:cNvSpPr/>
                  </xdr:nvSpPr>
                  <xdr:spPr>
                    <a:xfrm>
                      <a:off x="29824321" y="2179693"/>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240F7D-105B-4399-8554-1ECF9D3E287E}"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68" name="Grupo 167">
                    <a:extLst>
                      <a:ext uri="{FF2B5EF4-FFF2-40B4-BE49-F238E27FC236}">
                        <a16:creationId xmlns:a16="http://schemas.microsoft.com/office/drawing/2014/main" id="{00000000-0008-0000-0800-0000A8000000}"/>
                      </a:ext>
                    </a:extLst>
                  </xdr:cNvPr>
                  <xdr:cNvGrpSpPr/>
                </xdr:nvGrpSpPr>
                <xdr:grpSpPr>
                  <a:xfrm>
                    <a:off x="6371102" y="13544941"/>
                    <a:ext cx="770852" cy="278565"/>
                    <a:chOff x="6371102" y="13544941"/>
                    <a:chExt cx="770852" cy="278565"/>
                  </a:xfrm>
                </xdr:grpSpPr>
                <xdr:sp macro="" textlink="$K$12">
                  <xdr:nvSpPr>
                    <xdr:cNvPr id="169" name="Rectángulo 168">
                      <a:extLst>
                        <a:ext uri="{FF2B5EF4-FFF2-40B4-BE49-F238E27FC236}">
                          <a16:creationId xmlns:a16="http://schemas.microsoft.com/office/drawing/2014/main" id="{00000000-0008-0000-0800-0000A9000000}"/>
                        </a:ext>
                      </a:extLst>
                    </xdr:cNvPr>
                    <xdr:cNvSpPr/>
                  </xdr:nvSpPr>
                  <xdr:spPr>
                    <a:xfrm>
                      <a:off x="6400791"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30229BC-7F93-47C7-9E7B-53A219876A3E}" type="TxLink">
                        <a:rPr lang="en-US" sz="1100" b="1" i="0" u="none" strike="noStrike">
                          <a:solidFill>
                            <a:srgbClr val="FFFF00"/>
                          </a:solidFill>
                          <a:latin typeface="Century Gothic"/>
                        </a:rPr>
                        <a:pPr algn="ctr"/>
                        <a:t>2</a:t>
                      </a:fld>
                      <a:endParaRPr lang="es-CO" sz="2000" b="1">
                        <a:solidFill>
                          <a:srgbClr val="FFFF00"/>
                        </a:solidFill>
                      </a:endParaRPr>
                    </a:p>
                  </xdr:txBody>
                </xdr:sp>
                <xdr:sp macro="" textlink="$J$12">
                  <xdr:nvSpPr>
                    <xdr:cNvPr id="170" name="Rectángulo 169">
                      <a:extLst>
                        <a:ext uri="{FF2B5EF4-FFF2-40B4-BE49-F238E27FC236}">
                          <a16:creationId xmlns:a16="http://schemas.microsoft.com/office/drawing/2014/main" id="{00000000-0008-0000-0800-0000AA000000}"/>
                        </a:ext>
                      </a:extLst>
                    </xdr:cNvPr>
                    <xdr:cNvSpPr/>
                  </xdr:nvSpPr>
                  <xdr:spPr>
                    <a:xfrm>
                      <a:off x="6676885"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02CBDA-4975-4C1B-A271-C14D6D24756D}" type="TxLink">
                        <a:rPr lang="en-US" sz="1100" b="1" i="0" u="none" strike="noStrike">
                          <a:solidFill>
                            <a:srgbClr val="FFFF00"/>
                          </a:solidFill>
                          <a:latin typeface="Century Gothic"/>
                        </a:rPr>
                        <a:pPr algn="ctr"/>
                        <a:t>2</a:t>
                      </a:fld>
                      <a:endParaRPr lang="es-CO" sz="2000" b="1">
                        <a:solidFill>
                          <a:srgbClr val="FFFF00"/>
                        </a:solidFill>
                      </a:endParaRPr>
                    </a:p>
                  </xdr:txBody>
                </xdr:sp>
                <xdr:sp macro="" textlink="">
                  <xdr:nvSpPr>
                    <xdr:cNvPr id="171" name="CuadroTexto 170">
                      <a:extLst>
                        <a:ext uri="{FF2B5EF4-FFF2-40B4-BE49-F238E27FC236}">
                          <a16:creationId xmlns:a16="http://schemas.microsoft.com/office/drawing/2014/main" id="{00000000-0008-0000-0800-0000AB000000}"/>
                        </a:ext>
                      </a:extLst>
                    </xdr:cNvPr>
                    <xdr:cNvSpPr txBox="1"/>
                  </xdr:nvSpPr>
                  <xdr:spPr>
                    <a:xfrm>
                      <a:off x="6371102" y="1354494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4" name="Grupo 103">
                  <a:extLst>
                    <a:ext uri="{FF2B5EF4-FFF2-40B4-BE49-F238E27FC236}">
                      <a16:creationId xmlns:a16="http://schemas.microsoft.com/office/drawing/2014/main" id="{00000000-0008-0000-0800-000068000000}"/>
                    </a:ext>
                  </a:extLst>
                </xdr:cNvPr>
                <xdr:cNvGrpSpPr/>
              </xdr:nvGrpSpPr>
              <xdr:grpSpPr>
                <a:xfrm>
                  <a:off x="7078947" y="13106711"/>
                  <a:ext cx="2175256" cy="725999"/>
                  <a:chOff x="7078947" y="13106711"/>
                  <a:chExt cx="2175256" cy="725999"/>
                </a:xfrm>
              </xdr:grpSpPr>
              <xdr:grpSp>
                <xdr:nvGrpSpPr>
                  <xdr:cNvPr id="159" name="Grupo 158">
                    <a:extLst>
                      <a:ext uri="{FF2B5EF4-FFF2-40B4-BE49-F238E27FC236}">
                        <a16:creationId xmlns:a16="http://schemas.microsoft.com/office/drawing/2014/main" id="{00000000-0008-0000-0800-00009F000000}"/>
                      </a:ext>
                    </a:extLst>
                  </xdr:cNvPr>
                  <xdr:cNvGrpSpPr/>
                </xdr:nvGrpSpPr>
                <xdr:grpSpPr>
                  <a:xfrm>
                    <a:off x="7078947" y="13106711"/>
                    <a:ext cx="2175256" cy="720000"/>
                    <a:chOff x="28678435" y="2088803"/>
                    <a:chExt cx="2055483" cy="585107"/>
                  </a:xfrm>
                </xdr:grpSpPr>
                <xdr:sp macro="" textlink="">
                  <xdr:nvSpPr>
                    <xdr:cNvPr id="164" name="Cheurón 163">
                      <a:extLst>
                        <a:ext uri="{FF2B5EF4-FFF2-40B4-BE49-F238E27FC236}">
                          <a16:creationId xmlns:a16="http://schemas.microsoft.com/office/drawing/2014/main" id="{00000000-0008-0000-0800-0000A4000000}"/>
                        </a:ext>
                      </a:extLst>
                    </xdr:cNvPr>
                    <xdr:cNvSpPr/>
                  </xdr:nvSpPr>
                  <xdr:spPr>
                    <a:xfrm>
                      <a:off x="28678435" y="2088803"/>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65" name="CuadroTexto 164">
                      <a:extLst>
                        <a:ext uri="{FF2B5EF4-FFF2-40B4-BE49-F238E27FC236}">
                          <a16:creationId xmlns:a16="http://schemas.microsoft.com/office/drawing/2014/main" id="{00000000-0008-0000-0800-0000A5000000}"/>
                        </a:ext>
                      </a:extLst>
                    </xdr:cNvPr>
                    <xdr:cNvSpPr txBox="1"/>
                  </xdr:nvSpPr>
                  <xdr:spPr>
                    <a:xfrm>
                      <a:off x="28751134" y="2170761"/>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S$13">
                  <xdr:nvSpPr>
                    <xdr:cNvPr id="166" name="Rectángulo redondeado 165">
                      <a:extLst>
                        <a:ext uri="{FF2B5EF4-FFF2-40B4-BE49-F238E27FC236}">
                          <a16:creationId xmlns:a16="http://schemas.microsoft.com/office/drawing/2014/main" id="{00000000-0008-0000-0800-0000A6000000}"/>
                        </a:ext>
                      </a:extLst>
                    </xdr:cNvPr>
                    <xdr:cNvSpPr/>
                  </xdr:nvSpPr>
                  <xdr:spPr>
                    <a:xfrm>
                      <a:off x="29849455" y="2179693"/>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890802-BC4A-4034-99D4-519BEE554BFA}" type="TxLink">
                        <a:rPr lang="en-US" sz="1600" b="1" i="0" u="none" strike="noStrike">
                          <a:solidFill>
                            <a:srgbClr val="FFFF00"/>
                          </a:solidFill>
                          <a:latin typeface="Century Gothic"/>
                        </a:rPr>
                        <a:pPr algn="ctr"/>
                        <a:t>40,0%</a:t>
                      </a:fld>
                      <a:endParaRPr lang="es-CO" sz="1800">
                        <a:solidFill>
                          <a:srgbClr val="FFFF00"/>
                        </a:solidFill>
                      </a:endParaRPr>
                    </a:p>
                  </xdr:txBody>
                </xdr:sp>
              </xdr:grpSp>
              <xdr:grpSp>
                <xdr:nvGrpSpPr>
                  <xdr:cNvPr id="160" name="Grupo 159">
                    <a:extLst>
                      <a:ext uri="{FF2B5EF4-FFF2-40B4-BE49-F238E27FC236}">
                        <a16:creationId xmlns:a16="http://schemas.microsoft.com/office/drawing/2014/main" id="{00000000-0008-0000-0800-0000A0000000}"/>
                      </a:ext>
                    </a:extLst>
                  </xdr:cNvPr>
                  <xdr:cNvGrpSpPr/>
                </xdr:nvGrpSpPr>
                <xdr:grpSpPr>
                  <a:xfrm>
                    <a:off x="8330530" y="13560566"/>
                    <a:ext cx="770852" cy="272144"/>
                    <a:chOff x="8330530" y="13560566"/>
                    <a:chExt cx="770852" cy="272144"/>
                  </a:xfrm>
                </xdr:grpSpPr>
                <xdr:sp macro="" textlink="$K$13">
                  <xdr:nvSpPr>
                    <xdr:cNvPr id="161" name="Rectángulo 160">
                      <a:extLst>
                        <a:ext uri="{FF2B5EF4-FFF2-40B4-BE49-F238E27FC236}">
                          <a16:creationId xmlns:a16="http://schemas.microsoft.com/office/drawing/2014/main" id="{00000000-0008-0000-0800-0000A1000000}"/>
                        </a:ext>
                      </a:extLst>
                    </xdr:cNvPr>
                    <xdr:cNvSpPr/>
                  </xdr:nvSpPr>
                  <xdr:spPr>
                    <a:xfrm>
                      <a:off x="8371601" y="1356056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ED8739-23E1-427F-B12C-06E95B1BB24C}" type="TxLink">
                        <a:rPr lang="en-US" sz="1100" b="1" i="0" u="none" strike="noStrike">
                          <a:solidFill>
                            <a:srgbClr val="FFFF00"/>
                          </a:solidFill>
                          <a:latin typeface="Century Gothic"/>
                        </a:rPr>
                        <a:pPr algn="ctr"/>
                        <a:t>2</a:t>
                      </a:fld>
                      <a:endParaRPr lang="es-CO" sz="2400" b="1">
                        <a:solidFill>
                          <a:srgbClr val="FFFF00"/>
                        </a:solidFill>
                      </a:endParaRPr>
                    </a:p>
                  </xdr:txBody>
                </xdr:sp>
                <xdr:sp macro="" textlink="$J$13">
                  <xdr:nvSpPr>
                    <xdr:cNvPr id="162" name="Rectángulo 161">
                      <a:extLst>
                        <a:ext uri="{FF2B5EF4-FFF2-40B4-BE49-F238E27FC236}">
                          <a16:creationId xmlns:a16="http://schemas.microsoft.com/office/drawing/2014/main" id="{00000000-0008-0000-0800-0000A2000000}"/>
                        </a:ext>
                      </a:extLst>
                    </xdr:cNvPr>
                    <xdr:cNvSpPr/>
                  </xdr:nvSpPr>
                  <xdr:spPr>
                    <a:xfrm>
                      <a:off x="8647695" y="135605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C5A287-A2C2-43F4-8A6F-5EA2E577CA93}" type="TxLink">
                        <a:rPr lang="en-US" sz="1100" b="1" i="0" u="none" strike="noStrike">
                          <a:solidFill>
                            <a:srgbClr val="FFFF00"/>
                          </a:solidFill>
                          <a:latin typeface="Century Gothic"/>
                        </a:rPr>
                        <a:pPr algn="ctr"/>
                        <a:t>5</a:t>
                      </a:fld>
                      <a:endParaRPr lang="es-CO" sz="2400" b="1">
                        <a:solidFill>
                          <a:srgbClr val="FFFF00"/>
                        </a:solidFill>
                      </a:endParaRPr>
                    </a:p>
                  </xdr:txBody>
                </xdr:sp>
                <xdr:sp macro="" textlink="">
                  <xdr:nvSpPr>
                    <xdr:cNvPr id="163" name="CuadroTexto 162">
                      <a:extLst>
                        <a:ext uri="{FF2B5EF4-FFF2-40B4-BE49-F238E27FC236}">
                          <a16:creationId xmlns:a16="http://schemas.microsoft.com/office/drawing/2014/main" id="{00000000-0008-0000-0800-0000A3000000}"/>
                        </a:ext>
                      </a:extLst>
                    </xdr:cNvPr>
                    <xdr:cNvSpPr txBox="1"/>
                  </xdr:nvSpPr>
                  <xdr:spPr>
                    <a:xfrm>
                      <a:off x="8330530" y="135643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5" name="Grupo 104">
                  <a:extLst>
                    <a:ext uri="{FF2B5EF4-FFF2-40B4-BE49-F238E27FC236}">
                      <a16:creationId xmlns:a16="http://schemas.microsoft.com/office/drawing/2014/main" id="{00000000-0008-0000-0800-000069000000}"/>
                    </a:ext>
                  </a:extLst>
                </xdr:cNvPr>
                <xdr:cNvGrpSpPr/>
              </xdr:nvGrpSpPr>
              <xdr:grpSpPr>
                <a:xfrm>
                  <a:off x="8986712" y="13100930"/>
                  <a:ext cx="2173581" cy="728022"/>
                  <a:chOff x="8986712" y="13100930"/>
                  <a:chExt cx="2173581" cy="728022"/>
                </a:xfrm>
              </xdr:grpSpPr>
              <xdr:grpSp>
                <xdr:nvGrpSpPr>
                  <xdr:cNvPr id="151" name="Grupo 150">
                    <a:extLst>
                      <a:ext uri="{FF2B5EF4-FFF2-40B4-BE49-F238E27FC236}">
                        <a16:creationId xmlns:a16="http://schemas.microsoft.com/office/drawing/2014/main" id="{00000000-0008-0000-0800-000097000000}"/>
                      </a:ext>
                    </a:extLst>
                  </xdr:cNvPr>
                  <xdr:cNvGrpSpPr/>
                </xdr:nvGrpSpPr>
                <xdr:grpSpPr>
                  <a:xfrm>
                    <a:off x="8986712" y="13100930"/>
                    <a:ext cx="2173581" cy="720000"/>
                    <a:chOff x="28678271" y="2081892"/>
                    <a:chExt cx="2012823" cy="585107"/>
                  </a:xfrm>
                </xdr:grpSpPr>
                <xdr:sp macro="" textlink="">
                  <xdr:nvSpPr>
                    <xdr:cNvPr id="156" name="Cheurón 155">
                      <a:extLst>
                        <a:ext uri="{FF2B5EF4-FFF2-40B4-BE49-F238E27FC236}">
                          <a16:creationId xmlns:a16="http://schemas.microsoft.com/office/drawing/2014/main" id="{00000000-0008-0000-0800-00009C000000}"/>
                        </a:ext>
                      </a:extLst>
                    </xdr:cNvPr>
                    <xdr:cNvSpPr/>
                  </xdr:nvSpPr>
                  <xdr:spPr>
                    <a:xfrm>
                      <a:off x="2867827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57" name="CuadroTexto 156">
                      <a:extLst>
                        <a:ext uri="{FF2B5EF4-FFF2-40B4-BE49-F238E27FC236}">
                          <a16:creationId xmlns:a16="http://schemas.microsoft.com/office/drawing/2014/main" id="{00000000-0008-0000-0800-00009D000000}"/>
                        </a:ext>
                      </a:extLst>
                    </xdr:cNvPr>
                    <xdr:cNvSpPr txBox="1"/>
                  </xdr:nvSpPr>
                  <xdr:spPr>
                    <a:xfrm>
                      <a:off x="28906408" y="2166613"/>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S$14">
                  <xdr:nvSpPr>
                    <xdr:cNvPr id="158" name="Rectángulo redondeado 157">
                      <a:extLst>
                        <a:ext uri="{FF2B5EF4-FFF2-40B4-BE49-F238E27FC236}">
                          <a16:creationId xmlns:a16="http://schemas.microsoft.com/office/drawing/2014/main" id="{00000000-0008-0000-0800-00009E000000}"/>
                        </a:ext>
                      </a:extLst>
                    </xdr:cNvPr>
                    <xdr:cNvSpPr/>
                  </xdr:nvSpPr>
                  <xdr:spPr>
                    <a:xfrm>
                      <a:off x="29824320"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F3AC10-9984-42F8-9A01-BE32B94A9C65}"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52" name="Grupo 151">
                    <a:extLst>
                      <a:ext uri="{FF2B5EF4-FFF2-40B4-BE49-F238E27FC236}">
                        <a16:creationId xmlns:a16="http://schemas.microsoft.com/office/drawing/2014/main" id="{00000000-0008-0000-0800-000098000000}"/>
                      </a:ext>
                    </a:extLst>
                  </xdr:cNvPr>
                  <xdr:cNvGrpSpPr/>
                </xdr:nvGrpSpPr>
                <xdr:grpSpPr>
                  <a:xfrm>
                    <a:off x="10230583" y="13541544"/>
                    <a:ext cx="770852" cy="287408"/>
                    <a:chOff x="10230583" y="13541544"/>
                    <a:chExt cx="770852" cy="287408"/>
                  </a:xfrm>
                </xdr:grpSpPr>
                <xdr:sp macro="" textlink="$K$14">
                  <xdr:nvSpPr>
                    <xdr:cNvPr id="153" name="Rectángulo 152">
                      <a:extLst>
                        <a:ext uri="{FF2B5EF4-FFF2-40B4-BE49-F238E27FC236}">
                          <a16:creationId xmlns:a16="http://schemas.microsoft.com/office/drawing/2014/main" id="{00000000-0008-0000-0800-000099000000}"/>
                        </a:ext>
                      </a:extLst>
                    </xdr:cNvPr>
                    <xdr:cNvSpPr/>
                  </xdr:nvSpPr>
                  <xdr:spPr>
                    <a:xfrm>
                      <a:off x="10243446"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8B233F-90EE-4133-A7F7-3D32A5F47C51}" type="TxLink">
                        <a:rPr lang="en-US" sz="1100" b="1" i="0" u="none" strike="noStrike">
                          <a:solidFill>
                            <a:srgbClr val="FFFF00"/>
                          </a:solidFill>
                          <a:latin typeface="Century Gothic"/>
                        </a:rPr>
                        <a:pPr algn="ctr"/>
                        <a:t>2</a:t>
                      </a:fld>
                      <a:endParaRPr lang="es-CO" sz="2800" b="1">
                        <a:solidFill>
                          <a:srgbClr val="FFFF00"/>
                        </a:solidFill>
                      </a:endParaRPr>
                    </a:p>
                  </xdr:txBody>
                </xdr:sp>
                <xdr:sp macro="" textlink="$J$14">
                  <xdr:nvSpPr>
                    <xdr:cNvPr id="154" name="Rectángulo 153">
                      <a:extLst>
                        <a:ext uri="{FF2B5EF4-FFF2-40B4-BE49-F238E27FC236}">
                          <a16:creationId xmlns:a16="http://schemas.microsoft.com/office/drawing/2014/main" id="{00000000-0008-0000-0800-00009A000000}"/>
                        </a:ext>
                      </a:extLst>
                    </xdr:cNvPr>
                    <xdr:cNvSpPr/>
                  </xdr:nvSpPr>
                  <xdr:spPr>
                    <a:xfrm>
                      <a:off x="10545523"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668F58C-15F1-4CB0-BF63-895BE213D47D}" type="TxLink">
                        <a:rPr lang="en-US" sz="1100" b="1" i="0" u="none" strike="noStrike">
                          <a:solidFill>
                            <a:srgbClr val="FFFF00"/>
                          </a:solidFill>
                          <a:latin typeface="Century Gothic"/>
                        </a:rPr>
                        <a:pPr algn="ctr"/>
                        <a:t>2</a:t>
                      </a:fld>
                      <a:endParaRPr lang="es-CO" sz="2800" b="1">
                        <a:solidFill>
                          <a:srgbClr val="FFFF00"/>
                        </a:solidFill>
                      </a:endParaRPr>
                    </a:p>
                  </xdr:txBody>
                </xdr:sp>
                <xdr:sp macro="" textlink="">
                  <xdr:nvSpPr>
                    <xdr:cNvPr id="155" name="CuadroTexto 154">
                      <a:extLst>
                        <a:ext uri="{FF2B5EF4-FFF2-40B4-BE49-F238E27FC236}">
                          <a16:creationId xmlns:a16="http://schemas.microsoft.com/office/drawing/2014/main" id="{00000000-0008-0000-0800-00009B000000}"/>
                        </a:ext>
                      </a:extLst>
                    </xdr:cNvPr>
                    <xdr:cNvSpPr txBox="1"/>
                  </xdr:nvSpPr>
                  <xdr:spPr>
                    <a:xfrm>
                      <a:off x="10230583" y="1354154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6" name="Grupo 105">
                  <a:extLst>
                    <a:ext uri="{FF2B5EF4-FFF2-40B4-BE49-F238E27FC236}">
                      <a16:creationId xmlns:a16="http://schemas.microsoft.com/office/drawing/2014/main" id="{00000000-0008-0000-0800-00006A000000}"/>
                    </a:ext>
                  </a:extLst>
                </xdr:cNvPr>
                <xdr:cNvGrpSpPr/>
              </xdr:nvGrpSpPr>
              <xdr:grpSpPr>
                <a:xfrm>
                  <a:off x="1254624" y="13881976"/>
                  <a:ext cx="2195845" cy="725301"/>
                  <a:chOff x="1254624" y="13881976"/>
                  <a:chExt cx="2195845" cy="725301"/>
                </a:xfrm>
              </xdr:grpSpPr>
              <xdr:grpSp>
                <xdr:nvGrpSpPr>
                  <xdr:cNvPr id="143" name="Grupo 142">
                    <a:extLst>
                      <a:ext uri="{FF2B5EF4-FFF2-40B4-BE49-F238E27FC236}">
                        <a16:creationId xmlns:a16="http://schemas.microsoft.com/office/drawing/2014/main" id="{00000000-0008-0000-0800-00008F000000}"/>
                      </a:ext>
                    </a:extLst>
                  </xdr:cNvPr>
                  <xdr:cNvGrpSpPr/>
                </xdr:nvGrpSpPr>
                <xdr:grpSpPr>
                  <a:xfrm>
                    <a:off x="1254624" y="13881976"/>
                    <a:ext cx="2195845" cy="720000"/>
                    <a:chOff x="28670251" y="2081892"/>
                    <a:chExt cx="2033441" cy="585107"/>
                  </a:xfrm>
                </xdr:grpSpPr>
                <xdr:sp macro="" textlink="">
                  <xdr:nvSpPr>
                    <xdr:cNvPr id="148" name="Cheurón 147">
                      <a:extLst>
                        <a:ext uri="{FF2B5EF4-FFF2-40B4-BE49-F238E27FC236}">
                          <a16:creationId xmlns:a16="http://schemas.microsoft.com/office/drawing/2014/main" id="{00000000-0008-0000-0800-000094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49" name="CuadroTexto 148">
                      <a:extLst>
                        <a:ext uri="{FF2B5EF4-FFF2-40B4-BE49-F238E27FC236}">
                          <a16:creationId xmlns:a16="http://schemas.microsoft.com/office/drawing/2014/main" id="{00000000-0008-0000-0800-000095000000}"/>
                        </a:ext>
                      </a:extLst>
                    </xdr:cNvPr>
                    <xdr:cNvSpPr txBox="1"/>
                  </xdr:nvSpPr>
                  <xdr:spPr>
                    <a:xfrm>
                      <a:off x="28887716" y="2115280"/>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S$15">
                  <xdr:nvSpPr>
                    <xdr:cNvPr id="150" name="Rectángulo redondeado 149">
                      <a:extLst>
                        <a:ext uri="{FF2B5EF4-FFF2-40B4-BE49-F238E27FC236}">
                          <a16:creationId xmlns:a16="http://schemas.microsoft.com/office/drawing/2014/main" id="{00000000-0008-0000-0800-000096000000}"/>
                        </a:ext>
                      </a:extLst>
                    </xdr:cNvPr>
                    <xdr:cNvSpPr/>
                  </xdr:nvSpPr>
                  <xdr:spPr>
                    <a:xfrm>
                      <a:off x="29836918" y="215757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B70F24-3597-455E-9881-9F670DB698A4}"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44" name="Grupo 143">
                    <a:extLst>
                      <a:ext uri="{FF2B5EF4-FFF2-40B4-BE49-F238E27FC236}">
                        <a16:creationId xmlns:a16="http://schemas.microsoft.com/office/drawing/2014/main" id="{00000000-0008-0000-0800-000090000000}"/>
                      </a:ext>
                    </a:extLst>
                  </xdr:cNvPr>
                  <xdr:cNvGrpSpPr/>
                </xdr:nvGrpSpPr>
                <xdr:grpSpPr>
                  <a:xfrm>
                    <a:off x="2520280" y="14325654"/>
                    <a:ext cx="770852" cy="281623"/>
                    <a:chOff x="2520280" y="14325654"/>
                    <a:chExt cx="770852" cy="281623"/>
                  </a:xfrm>
                </xdr:grpSpPr>
                <xdr:sp macro="" textlink="$K$15">
                  <xdr:nvSpPr>
                    <xdr:cNvPr id="145" name="Rectángulo 144">
                      <a:extLst>
                        <a:ext uri="{FF2B5EF4-FFF2-40B4-BE49-F238E27FC236}">
                          <a16:creationId xmlns:a16="http://schemas.microsoft.com/office/drawing/2014/main" id="{00000000-0008-0000-0800-000091000000}"/>
                        </a:ext>
                      </a:extLst>
                    </xdr:cNvPr>
                    <xdr:cNvSpPr/>
                  </xdr:nvSpPr>
                  <xdr:spPr>
                    <a:xfrm>
                      <a:off x="2544545"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52C3B7-84F3-4306-9F51-94264694E69F}" type="TxLink">
                        <a:rPr lang="en-US" sz="1100" b="1" i="0" u="none" strike="noStrike">
                          <a:solidFill>
                            <a:srgbClr val="FFFF00"/>
                          </a:solidFill>
                          <a:latin typeface="Century Gothic"/>
                        </a:rPr>
                        <a:pPr algn="ctr"/>
                        <a:t>2</a:t>
                      </a:fld>
                      <a:endParaRPr lang="es-CO" sz="3200" b="1">
                        <a:solidFill>
                          <a:srgbClr val="FFFF00"/>
                        </a:solidFill>
                      </a:endParaRPr>
                    </a:p>
                  </xdr:txBody>
                </xdr:sp>
                <xdr:sp macro="" textlink="$J$15">
                  <xdr:nvSpPr>
                    <xdr:cNvPr id="146" name="Rectángulo 145">
                      <a:extLst>
                        <a:ext uri="{FF2B5EF4-FFF2-40B4-BE49-F238E27FC236}">
                          <a16:creationId xmlns:a16="http://schemas.microsoft.com/office/drawing/2014/main" id="{00000000-0008-0000-0800-000092000000}"/>
                        </a:ext>
                      </a:extLst>
                    </xdr:cNvPr>
                    <xdr:cNvSpPr/>
                  </xdr:nvSpPr>
                  <xdr:spPr>
                    <a:xfrm>
                      <a:off x="2820639"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EA17CCE-9AE6-4CFC-AAE5-A1867B0BD6C0}" type="TxLink">
                        <a:rPr lang="en-US" sz="1100" b="1" i="0" u="none" strike="noStrike">
                          <a:solidFill>
                            <a:srgbClr val="FFFF00"/>
                          </a:solidFill>
                          <a:latin typeface="Century Gothic"/>
                        </a:rPr>
                        <a:pPr algn="ctr"/>
                        <a:t>2</a:t>
                      </a:fld>
                      <a:endParaRPr lang="es-CO" sz="3200" b="1">
                        <a:solidFill>
                          <a:srgbClr val="FFFF00"/>
                        </a:solidFill>
                      </a:endParaRPr>
                    </a:p>
                  </xdr:txBody>
                </xdr:sp>
                <xdr:sp macro="" textlink="">
                  <xdr:nvSpPr>
                    <xdr:cNvPr id="147" name="CuadroTexto 146">
                      <a:extLst>
                        <a:ext uri="{FF2B5EF4-FFF2-40B4-BE49-F238E27FC236}">
                          <a16:creationId xmlns:a16="http://schemas.microsoft.com/office/drawing/2014/main" id="{00000000-0008-0000-0800-000093000000}"/>
                        </a:ext>
                      </a:extLst>
                    </xdr:cNvPr>
                    <xdr:cNvSpPr txBox="1"/>
                  </xdr:nvSpPr>
                  <xdr:spPr>
                    <a:xfrm>
                      <a:off x="2520280" y="143256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7" name="Grupo 106">
                  <a:extLst>
                    <a:ext uri="{FF2B5EF4-FFF2-40B4-BE49-F238E27FC236}">
                      <a16:creationId xmlns:a16="http://schemas.microsoft.com/office/drawing/2014/main" id="{00000000-0008-0000-0800-00006B000000}"/>
                    </a:ext>
                  </a:extLst>
                </xdr:cNvPr>
                <xdr:cNvGrpSpPr/>
              </xdr:nvGrpSpPr>
              <xdr:grpSpPr>
                <a:xfrm>
                  <a:off x="3216828" y="13884699"/>
                  <a:ext cx="2168636" cy="720000"/>
                  <a:chOff x="3216828" y="13884699"/>
                  <a:chExt cx="2168636" cy="720000"/>
                </a:xfrm>
              </xdr:grpSpPr>
              <xdr:grpSp>
                <xdr:nvGrpSpPr>
                  <xdr:cNvPr id="135" name="Grupo 134">
                    <a:extLst>
                      <a:ext uri="{FF2B5EF4-FFF2-40B4-BE49-F238E27FC236}">
                        <a16:creationId xmlns:a16="http://schemas.microsoft.com/office/drawing/2014/main" id="{00000000-0008-0000-0800-000087000000}"/>
                      </a:ext>
                    </a:extLst>
                  </xdr:cNvPr>
                  <xdr:cNvGrpSpPr/>
                </xdr:nvGrpSpPr>
                <xdr:grpSpPr>
                  <a:xfrm>
                    <a:off x="3216828" y="13884699"/>
                    <a:ext cx="2168636" cy="720000"/>
                    <a:chOff x="28670251" y="2081892"/>
                    <a:chExt cx="2008241" cy="585107"/>
                  </a:xfrm>
                </xdr:grpSpPr>
                <xdr:sp macro="" textlink="">
                  <xdr:nvSpPr>
                    <xdr:cNvPr id="140" name="Cheurón 139">
                      <a:extLst>
                        <a:ext uri="{FF2B5EF4-FFF2-40B4-BE49-F238E27FC236}">
                          <a16:creationId xmlns:a16="http://schemas.microsoft.com/office/drawing/2014/main" id="{00000000-0008-0000-0800-00008C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41" name="CuadroTexto 140">
                      <a:extLst>
                        <a:ext uri="{FF2B5EF4-FFF2-40B4-BE49-F238E27FC236}">
                          <a16:creationId xmlns:a16="http://schemas.microsoft.com/office/drawing/2014/main" id="{00000000-0008-0000-0800-00008D000000}"/>
                        </a:ext>
                      </a:extLst>
                    </xdr:cNvPr>
                    <xdr:cNvSpPr txBox="1"/>
                  </xdr:nvSpPr>
                  <xdr:spPr>
                    <a:xfrm>
                      <a:off x="28828294" y="2115280"/>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S$16">
                  <xdr:nvSpPr>
                    <xdr:cNvPr id="142" name="Rectángulo redondeado 141">
                      <a:extLst>
                        <a:ext uri="{FF2B5EF4-FFF2-40B4-BE49-F238E27FC236}">
                          <a16:creationId xmlns:a16="http://schemas.microsoft.com/office/drawing/2014/main" id="{00000000-0008-0000-0800-00008E000000}"/>
                        </a:ext>
                      </a:extLst>
                    </xdr:cNvPr>
                    <xdr:cNvSpPr/>
                  </xdr:nvSpPr>
                  <xdr:spPr>
                    <a:xfrm>
                      <a:off x="29811719"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F4CC68A-A8B4-405E-BE31-4D0AEC471047}"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36" name="Grupo 135">
                    <a:extLst>
                      <a:ext uri="{FF2B5EF4-FFF2-40B4-BE49-F238E27FC236}">
                        <a16:creationId xmlns:a16="http://schemas.microsoft.com/office/drawing/2014/main" id="{00000000-0008-0000-0800-000088000000}"/>
                      </a:ext>
                    </a:extLst>
                  </xdr:cNvPr>
                  <xdr:cNvGrpSpPr/>
                </xdr:nvGrpSpPr>
                <xdr:grpSpPr>
                  <a:xfrm>
                    <a:off x="4471046" y="14320548"/>
                    <a:ext cx="770852" cy="275845"/>
                    <a:chOff x="4471046" y="14320548"/>
                    <a:chExt cx="770852" cy="275845"/>
                  </a:xfrm>
                </xdr:grpSpPr>
                <xdr:sp macro="" textlink="$K$16">
                  <xdr:nvSpPr>
                    <xdr:cNvPr id="137" name="Rectángulo 136">
                      <a:extLst>
                        <a:ext uri="{FF2B5EF4-FFF2-40B4-BE49-F238E27FC236}">
                          <a16:creationId xmlns:a16="http://schemas.microsoft.com/office/drawing/2014/main" id="{00000000-0008-0000-0800-000089000000}"/>
                        </a:ext>
                      </a:extLst>
                    </xdr:cNvPr>
                    <xdr:cNvSpPr/>
                  </xdr:nvSpPr>
                  <xdr:spPr>
                    <a:xfrm>
                      <a:off x="4506693"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819823D-1A0E-43F1-92E4-21360E255D2E}" type="TxLink">
                        <a:rPr lang="en-US" sz="1100" b="1" i="0" u="none" strike="noStrike">
                          <a:solidFill>
                            <a:srgbClr val="FFFF00"/>
                          </a:solidFill>
                          <a:latin typeface="Century Gothic"/>
                        </a:rPr>
                        <a:pPr algn="ctr"/>
                        <a:t>1</a:t>
                      </a:fld>
                      <a:endParaRPr lang="es-CO" sz="3600" b="1">
                        <a:solidFill>
                          <a:srgbClr val="FFFF00"/>
                        </a:solidFill>
                      </a:endParaRPr>
                    </a:p>
                  </xdr:txBody>
                </xdr:sp>
                <xdr:sp macro="" textlink="$J$16">
                  <xdr:nvSpPr>
                    <xdr:cNvPr id="138" name="Rectángulo 137">
                      <a:extLst>
                        <a:ext uri="{FF2B5EF4-FFF2-40B4-BE49-F238E27FC236}">
                          <a16:creationId xmlns:a16="http://schemas.microsoft.com/office/drawing/2014/main" id="{00000000-0008-0000-0800-00008A000000}"/>
                        </a:ext>
                      </a:extLst>
                    </xdr:cNvPr>
                    <xdr:cNvSpPr/>
                  </xdr:nvSpPr>
                  <xdr:spPr>
                    <a:xfrm>
                      <a:off x="4782787"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9A0D945-88E7-4826-936C-0D30BB0A8EAF}" type="TxLink">
                        <a:rPr lang="en-US" sz="1100" b="1" i="0" u="none" strike="noStrike">
                          <a:solidFill>
                            <a:srgbClr val="FFFF00"/>
                          </a:solidFill>
                          <a:latin typeface="Century Gothic"/>
                        </a:rPr>
                        <a:pPr algn="ctr"/>
                        <a:t>1</a:t>
                      </a:fld>
                      <a:endParaRPr lang="es-CO" sz="3600" b="1">
                        <a:solidFill>
                          <a:srgbClr val="FFFF00"/>
                        </a:solidFill>
                      </a:endParaRPr>
                    </a:p>
                  </xdr:txBody>
                </xdr:sp>
                <xdr:sp macro="" textlink="">
                  <xdr:nvSpPr>
                    <xdr:cNvPr id="139" name="CuadroTexto 138">
                      <a:extLst>
                        <a:ext uri="{FF2B5EF4-FFF2-40B4-BE49-F238E27FC236}">
                          <a16:creationId xmlns:a16="http://schemas.microsoft.com/office/drawing/2014/main" id="{00000000-0008-0000-0800-00008B000000}"/>
                        </a:ext>
                      </a:extLst>
                    </xdr:cNvPr>
                    <xdr:cNvSpPr txBox="1"/>
                  </xdr:nvSpPr>
                  <xdr:spPr>
                    <a:xfrm>
                      <a:off x="4471046" y="1432054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8" name="Grupo 107">
                  <a:extLst>
                    <a:ext uri="{FF2B5EF4-FFF2-40B4-BE49-F238E27FC236}">
                      <a16:creationId xmlns:a16="http://schemas.microsoft.com/office/drawing/2014/main" id="{00000000-0008-0000-0800-00006C000000}"/>
                    </a:ext>
                  </a:extLst>
                </xdr:cNvPr>
                <xdr:cNvGrpSpPr/>
              </xdr:nvGrpSpPr>
              <xdr:grpSpPr>
                <a:xfrm>
                  <a:off x="5165316" y="13873815"/>
                  <a:ext cx="2195847" cy="725301"/>
                  <a:chOff x="5165316" y="13873815"/>
                  <a:chExt cx="2195847" cy="725301"/>
                </a:xfrm>
              </xdr:grpSpPr>
              <xdr:grpSp>
                <xdr:nvGrpSpPr>
                  <xdr:cNvPr id="127" name="Grupo 126">
                    <a:extLst>
                      <a:ext uri="{FF2B5EF4-FFF2-40B4-BE49-F238E27FC236}">
                        <a16:creationId xmlns:a16="http://schemas.microsoft.com/office/drawing/2014/main" id="{00000000-0008-0000-0800-00007F000000}"/>
                      </a:ext>
                    </a:extLst>
                  </xdr:cNvPr>
                  <xdr:cNvGrpSpPr/>
                </xdr:nvGrpSpPr>
                <xdr:grpSpPr>
                  <a:xfrm>
                    <a:off x="5165316" y="13873815"/>
                    <a:ext cx="2195847" cy="720000"/>
                    <a:chOff x="28670251" y="2081892"/>
                    <a:chExt cx="2033443" cy="585107"/>
                  </a:xfrm>
                </xdr:grpSpPr>
                <xdr:sp macro="" textlink="">
                  <xdr:nvSpPr>
                    <xdr:cNvPr id="132" name="Cheurón 131">
                      <a:extLst>
                        <a:ext uri="{FF2B5EF4-FFF2-40B4-BE49-F238E27FC236}">
                          <a16:creationId xmlns:a16="http://schemas.microsoft.com/office/drawing/2014/main" id="{00000000-0008-0000-0800-000084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33" name="CuadroTexto 132">
                      <a:extLst>
                        <a:ext uri="{FF2B5EF4-FFF2-40B4-BE49-F238E27FC236}">
                          <a16:creationId xmlns:a16="http://schemas.microsoft.com/office/drawing/2014/main" id="{00000000-0008-0000-0800-000085000000}"/>
                        </a:ext>
                      </a:extLst>
                    </xdr:cNvPr>
                    <xdr:cNvSpPr txBox="1"/>
                  </xdr:nvSpPr>
                  <xdr:spPr>
                    <a:xfrm>
                      <a:off x="28808668" y="2126338"/>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S$17">
                  <xdr:nvSpPr>
                    <xdr:cNvPr id="134" name="Rectángulo redondeado 133">
                      <a:extLst>
                        <a:ext uri="{FF2B5EF4-FFF2-40B4-BE49-F238E27FC236}">
                          <a16:creationId xmlns:a16="http://schemas.microsoft.com/office/drawing/2014/main" id="{00000000-0008-0000-0800-000086000000}"/>
                        </a:ext>
                      </a:extLst>
                    </xdr:cNvPr>
                    <xdr:cNvSpPr/>
                  </xdr:nvSpPr>
                  <xdr:spPr>
                    <a:xfrm>
                      <a:off x="29836919"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4DBF16E-EF0C-4682-AF2E-12DBDA345092}" type="TxLink">
                        <a:rPr lang="en-US" sz="1600" b="1" i="0" u="none" strike="noStrike">
                          <a:solidFill>
                            <a:srgbClr val="FFFF00"/>
                          </a:solidFill>
                          <a:latin typeface="Century Gothic"/>
                        </a:rPr>
                        <a:pPr algn="ctr"/>
                        <a:t>50,0%</a:t>
                      </a:fld>
                      <a:endParaRPr lang="es-CO" sz="1800">
                        <a:solidFill>
                          <a:srgbClr val="FFFF00"/>
                        </a:solidFill>
                      </a:endParaRPr>
                    </a:p>
                  </xdr:txBody>
                </xdr:sp>
              </xdr:grpSp>
              <xdr:grpSp>
                <xdr:nvGrpSpPr>
                  <xdr:cNvPr id="128" name="Grupo 127">
                    <a:extLst>
                      <a:ext uri="{FF2B5EF4-FFF2-40B4-BE49-F238E27FC236}">
                        <a16:creationId xmlns:a16="http://schemas.microsoft.com/office/drawing/2014/main" id="{00000000-0008-0000-0800-000080000000}"/>
                      </a:ext>
                    </a:extLst>
                  </xdr:cNvPr>
                  <xdr:cNvGrpSpPr/>
                </xdr:nvGrpSpPr>
                <xdr:grpSpPr>
                  <a:xfrm>
                    <a:off x="6452743" y="14320549"/>
                    <a:ext cx="770852" cy="278567"/>
                    <a:chOff x="6452743" y="14320549"/>
                    <a:chExt cx="770852" cy="278567"/>
                  </a:xfrm>
                </xdr:grpSpPr>
                <xdr:sp macro="" textlink="$K$17">
                  <xdr:nvSpPr>
                    <xdr:cNvPr id="129" name="Rectángulo 128">
                      <a:extLst>
                        <a:ext uri="{FF2B5EF4-FFF2-40B4-BE49-F238E27FC236}">
                          <a16:creationId xmlns:a16="http://schemas.microsoft.com/office/drawing/2014/main" id="{00000000-0008-0000-0800-000081000000}"/>
                        </a:ext>
                      </a:extLst>
                    </xdr:cNvPr>
                    <xdr:cNvSpPr/>
                  </xdr:nvSpPr>
                  <xdr:spPr>
                    <a:xfrm>
                      <a:off x="6482448"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114EA6-0E3F-4548-AD48-0C289838D0FE}" type="TxLink">
                        <a:rPr lang="en-US" sz="1100" b="1" i="0" u="none" strike="noStrike">
                          <a:solidFill>
                            <a:srgbClr val="FFFF00"/>
                          </a:solidFill>
                          <a:latin typeface="Century Gothic"/>
                        </a:rPr>
                        <a:pPr algn="ctr"/>
                        <a:t>2</a:t>
                      </a:fld>
                      <a:endParaRPr lang="es-CO" sz="4000" b="1">
                        <a:solidFill>
                          <a:srgbClr val="FFFF00"/>
                        </a:solidFill>
                      </a:endParaRPr>
                    </a:p>
                  </xdr:txBody>
                </xdr:sp>
                <xdr:sp macro="" textlink="$J$17">
                  <xdr:nvSpPr>
                    <xdr:cNvPr id="130" name="Rectángulo 129">
                      <a:extLst>
                        <a:ext uri="{FF2B5EF4-FFF2-40B4-BE49-F238E27FC236}">
                          <a16:creationId xmlns:a16="http://schemas.microsoft.com/office/drawing/2014/main" id="{00000000-0008-0000-0800-000082000000}"/>
                        </a:ext>
                      </a:extLst>
                    </xdr:cNvPr>
                    <xdr:cNvSpPr/>
                  </xdr:nvSpPr>
                  <xdr:spPr>
                    <a:xfrm>
                      <a:off x="6758543"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C4A922-5423-4A04-B932-B03DC46BD7A4}" type="TxLink">
                        <a:rPr lang="en-US" sz="1100" b="1" i="0" u="none" strike="noStrike">
                          <a:solidFill>
                            <a:srgbClr val="FFFF00"/>
                          </a:solidFill>
                          <a:latin typeface="Century Gothic"/>
                        </a:rPr>
                        <a:pPr algn="ctr"/>
                        <a:t>4</a:t>
                      </a:fld>
                      <a:endParaRPr lang="es-CO" sz="4000" b="1">
                        <a:solidFill>
                          <a:srgbClr val="FFFF00"/>
                        </a:solidFill>
                      </a:endParaRPr>
                    </a:p>
                  </xdr:txBody>
                </xdr:sp>
                <xdr:sp macro="" textlink="">
                  <xdr:nvSpPr>
                    <xdr:cNvPr id="131" name="CuadroTexto 130">
                      <a:extLst>
                        <a:ext uri="{FF2B5EF4-FFF2-40B4-BE49-F238E27FC236}">
                          <a16:creationId xmlns:a16="http://schemas.microsoft.com/office/drawing/2014/main" id="{00000000-0008-0000-0800-000083000000}"/>
                        </a:ext>
                      </a:extLst>
                    </xdr:cNvPr>
                    <xdr:cNvSpPr txBox="1"/>
                  </xdr:nvSpPr>
                  <xdr:spPr>
                    <a:xfrm>
                      <a:off x="6452743" y="143205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9" name="Grupo 108">
                  <a:extLst>
                    <a:ext uri="{FF2B5EF4-FFF2-40B4-BE49-F238E27FC236}">
                      <a16:creationId xmlns:a16="http://schemas.microsoft.com/office/drawing/2014/main" id="{00000000-0008-0000-0800-00006D000000}"/>
                    </a:ext>
                  </a:extLst>
                </xdr:cNvPr>
                <xdr:cNvGrpSpPr/>
              </xdr:nvGrpSpPr>
              <xdr:grpSpPr>
                <a:xfrm>
                  <a:off x="7113849" y="13876538"/>
                  <a:ext cx="2116806" cy="725301"/>
                  <a:chOff x="7113849" y="13876538"/>
                  <a:chExt cx="2116806" cy="725301"/>
                </a:xfrm>
              </xdr:grpSpPr>
              <xdr:grpSp>
                <xdr:nvGrpSpPr>
                  <xdr:cNvPr id="119" name="Grupo 118">
                    <a:extLst>
                      <a:ext uri="{FF2B5EF4-FFF2-40B4-BE49-F238E27FC236}">
                        <a16:creationId xmlns:a16="http://schemas.microsoft.com/office/drawing/2014/main" id="{00000000-0008-0000-0800-000077000000}"/>
                      </a:ext>
                    </a:extLst>
                  </xdr:cNvPr>
                  <xdr:cNvGrpSpPr/>
                </xdr:nvGrpSpPr>
                <xdr:grpSpPr>
                  <a:xfrm>
                    <a:off x="7113849" y="13876538"/>
                    <a:ext cx="2116806" cy="720000"/>
                    <a:chOff x="28670251" y="2081892"/>
                    <a:chExt cx="2000250" cy="585107"/>
                  </a:xfrm>
                </xdr:grpSpPr>
                <xdr:sp macro="" textlink="">
                  <xdr:nvSpPr>
                    <xdr:cNvPr id="124" name="Cheurón 123">
                      <a:extLst>
                        <a:ext uri="{FF2B5EF4-FFF2-40B4-BE49-F238E27FC236}">
                          <a16:creationId xmlns:a16="http://schemas.microsoft.com/office/drawing/2014/main" id="{00000000-0008-0000-0800-00007C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25" name="CuadroTexto 124">
                      <a:extLst>
                        <a:ext uri="{FF2B5EF4-FFF2-40B4-BE49-F238E27FC236}">
                          <a16:creationId xmlns:a16="http://schemas.microsoft.com/office/drawing/2014/main" id="{00000000-0008-0000-0800-00007D000000}"/>
                        </a:ext>
                      </a:extLst>
                    </xdr:cNvPr>
                    <xdr:cNvSpPr txBox="1"/>
                  </xdr:nvSpPr>
                  <xdr:spPr>
                    <a:xfrm>
                      <a:off x="28928089" y="2122191"/>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S$18">
                  <xdr:nvSpPr>
                    <xdr:cNvPr id="126" name="Rectángulo redondeado 125">
                      <a:extLst>
                        <a:ext uri="{FF2B5EF4-FFF2-40B4-BE49-F238E27FC236}">
                          <a16:creationId xmlns:a16="http://schemas.microsoft.com/office/drawing/2014/main" id="{00000000-0008-0000-0800-00007E000000}"/>
                        </a:ext>
                      </a:extLst>
                    </xdr:cNvPr>
                    <xdr:cNvSpPr/>
                  </xdr:nvSpPr>
                  <xdr:spPr>
                    <a:xfrm>
                      <a:off x="29785163"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0EE6F0-D2BE-4C04-9381-5D073D7487E3}"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20" name="Grupo 119">
                    <a:extLst>
                      <a:ext uri="{FF2B5EF4-FFF2-40B4-BE49-F238E27FC236}">
                        <a16:creationId xmlns:a16="http://schemas.microsoft.com/office/drawing/2014/main" id="{00000000-0008-0000-0800-000078000000}"/>
                      </a:ext>
                    </a:extLst>
                  </xdr:cNvPr>
                  <xdr:cNvGrpSpPr/>
                </xdr:nvGrpSpPr>
                <xdr:grpSpPr>
                  <a:xfrm>
                    <a:off x="8340423" y="14317149"/>
                    <a:ext cx="770852" cy="284690"/>
                    <a:chOff x="8340423" y="14317149"/>
                    <a:chExt cx="770852" cy="284690"/>
                  </a:xfrm>
                </xdr:grpSpPr>
                <xdr:sp macro="" textlink="$K$18">
                  <xdr:nvSpPr>
                    <xdr:cNvPr id="121" name="Rectángulo 120">
                      <a:extLst>
                        <a:ext uri="{FF2B5EF4-FFF2-40B4-BE49-F238E27FC236}">
                          <a16:creationId xmlns:a16="http://schemas.microsoft.com/office/drawing/2014/main" id="{00000000-0008-0000-0800-000079000000}"/>
                        </a:ext>
                      </a:extLst>
                    </xdr:cNvPr>
                    <xdr:cNvSpPr/>
                  </xdr:nvSpPr>
                  <xdr:spPr>
                    <a:xfrm>
                      <a:off x="8376562"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D8FD84E-6AD1-441D-9077-365A42E29A77}"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18">
                  <xdr:nvSpPr>
                    <xdr:cNvPr id="122" name="Rectángulo 121">
                      <a:extLst>
                        <a:ext uri="{FF2B5EF4-FFF2-40B4-BE49-F238E27FC236}">
                          <a16:creationId xmlns:a16="http://schemas.microsoft.com/office/drawing/2014/main" id="{00000000-0008-0000-0800-00007A000000}"/>
                        </a:ext>
                      </a:extLst>
                    </xdr:cNvPr>
                    <xdr:cNvSpPr/>
                  </xdr:nvSpPr>
                  <xdr:spPr>
                    <a:xfrm>
                      <a:off x="8652656"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7161BF-A4B8-46D4-816A-C00E0D05AEA2}"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
                  <xdr:nvSpPr>
                    <xdr:cNvPr id="123" name="CuadroTexto 122">
                      <a:extLst>
                        <a:ext uri="{FF2B5EF4-FFF2-40B4-BE49-F238E27FC236}">
                          <a16:creationId xmlns:a16="http://schemas.microsoft.com/office/drawing/2014/main" id="{00000000-0008-0000-0800-00007B000000}"/>
                        </a:ext>
                      </a:extLst>
                    </xdr:cNvPr>
                    <xdr:cNvSpPr txBox="1"/>
                  </xdr:nvSpPr>
                  <xdr:spPr>
                    <a:xfrm>
                      <a:off x="8340423" y="143171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10" name="Grupo 109">
                  <a:extLst>
                    <a:ext uri="{FF2B5EF4-FFF2-40B4-BE49-F238E27FC236}">
                      <a16:creationId xmlns:a16="http://schemas.microsoft.com/office/drawing/2014/main" id="{00000000-0008-0000-0800-00006E000000}"/>
                    </a:ext>
                  </a:extLst>
                </xdr:cNvPr>
                <xdr:cNvGrpSpPr/>
              </xdr:nvGrpSpPr>
              <xdr:grpSpPr>
                <a:xfrm>
                  <a:off x="9030232" y="13879260"/>
                  <a:ext cx="2116806" cy="725302"/>
                  <a:chOff x="9030232" y="13879260"/>
                  <a:chExt cx="2116806" cy="725302"/>
                </a:xfrm>
              </xdr:grpSpPr>
              <xdr:grpSp>
                <xdr:nvGrpSpPr>
                  <xdr:cNvPr id="111" name="Grupo 110">
                    <a:extLst>
                      <a:ext uri="{FF2B5EF4-FFF2-40B4-BE49-F238E27FC236}">
                        <a16:creationId xmlns:a16="http://schemas.microsoft.com/office/drawing/2014/main" id="{00000000-0008-0000-0800-00006F000000}"/>
                      </a:ext>
                    </a:extLst>
                  </xdr:cNvPr>
                  <xdr:cNvGrpSpPr/>
                </xdr:nvGrpSpPr>
                <xdr:grpSpPr>
                  <a:xfrm>
                    <a:off x="9030232" y="13879260"/>
                    <a:ext cx="2116806" cy="720000"/>
                    <a:chOff x="28678435" y="2081892"/>
                    <a:chExt cx="2000250" cy="585107"/>
                  </a:xfrm>
                </xdr:grpSpPr>
                <xdr:sp macro="" textlink="">
                  <xdr:nvSpPr>
                    <xdr:cNvPr id="116" name="Cheurón 115">
                      <a:extLst>
                        <a:ext uri="{FF2B5EF4-FFF2-40B4-BE49-F238E27FC236}">
                          <a16:creationId xmlns:a16="http://schemas.microsoft.com/office/drawing/2014/main" id="{00000000-0008-0000-0800-000074000000}"/>
                        </a:ext>
                      </a:extLst>
                    </xdr:cNvPr>
                    <xdr:cNvSpPr/>
                  </xdr:nvSpPr>
                  <xdr:spPr>
                    <a:xfrm>
                      <a:off x="28678435"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17" name="CuadroTexto 116">
                      <a:extLst>
                        <a:ext uri="{FF2B5EF4-FFF2-40B4-BE49-F238E27FC236}">
                          <a16:creationId xmlns:a16="http://schemas.microsoft.com/office/drawing/2014/main" id="{00000000-0008-0000-0800-000075000000}"/>
                        </a:ext>
                      </a:extLst>
                    </xdr:cNvPr>
                    <xdr:cNvSpPr txBox="1"/>
                  </xdr:nvSpPr>
                  <xdr:spPr>
                    <a:xfrm>
                      <a:off x="28858849"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S$19">
                  <xdr:nvSpPr>
                    <xdr:cNvPr id="118" name="Rectángulo redondeado 117">
                      <a:extLst>
                        <a:ext uri="{FF2B5EF4-FFF2-40B4-BE49-F238E27FC236}">
                          <a16:creationId xmlns:a16="http://schemas.microsoft.com/office/drawing/2014/main" id="{00000000-0008-0000-0800-000076000000}"/>
                        </a:ext>
                      </a:extLst>
                    </xdr:cNvPr>
                    <xdr:cNvSpPr/>
                  </xdr:nvSpPr>
                  <xdr:spPr>
                    <a:xfrm>
                      <a:off x="29785164"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DB9339-8C9F-4440-BD2D-DC144B064370}" type="TxLink">
                        <a:rPr lang="en-US" sz="1600" b="1" i="0" u="none" strike="noStrike">
                          <a:solidFill>
                            <a:srgbClr val="FFFF00"/>
                          </a:solidFill>
                          <a:latin typeface="Century Gothic"/>
                        </a:rPr>
                        <a:pPr algn="ctr"/>
                        <a:t>66,7%</a:t>
                      </a:fld>
                      <a:endParaRPr lang="es-CO" sz="1800">
                        <a:solidFill>
                          <a:srgbClr val="FFFF00"/>
                        </a:solidFill>
                      </a:endParaRPr>
                    </a:p>
                  </xdr:txBody>
                </xdr:sp>
              </xdr:grpSp>
              <xdr:grpSp>
                <xdr:nvGrpSpPr>
                  <xdr:cNvPr id="112" name="Grupo 111">
                    <a:extLst>
                      <a:ext uri="{FF2B5EF4-FFF2-40B4-BE49-F238E27FC236}">
                        <a16:creationId xmlns:a16="http://schemas.microsoft.com/office/drawing/2014/main" id="{00000000-0008-0000-0800-000070000000}"/>
                      </a:ext>
                    </a:extLst>
                  </xdr:cNvPr>
                  <xdr:cNvGrpSpPr/>
                </xdr:nvGrpSpPr>
                <xdr:grpSpPr>
                  <a:xfrm>
                    <a:off x="10235530" y="14325652"/>
                    <a:ext cx="770852" cy="278910"/>
                    <a:chOff x="10235530" y="14325652"/>
                    <a:chExt cx="770852" cy="278910"/>
                  </a:xfrm>
                </xdr:grpSpPr>
                <xdr:sp macro="" textlink="$K$19">
                  <xdr:nvSpPr>
                    <xdr:cNvPr id="113" name="Rectángulo 112">
                      <a:extLst>
                        <a:ext uri="{FF2B5EF4-FFF2-40B4-BE49-F238E27FC236}">
                          <a16:creationId xmlns:a16="http://schemas.microsoft.com/office/drawing/2014/main" id="{00000000-0008-0000-0800-000071000000}"/>
                        </a:ext>
                      </a:extLst>
                    </xdr:cNvPr>
                    <xdr:cNvSpPr/>
                  </xdr:nvSpPr>
                  <xdr:spPr>
                    <a:xfrm>
                      <a:off x="10270676" y="1433241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48118A-A432-40D2-A22C-75D499CE9CFD}"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19">
                  <xdr:nvSpPr>
                    <xdr:cNvPr id="114" name="Rectángulo 113">
                      <a:extLst>
                        <a:ext uri="{FF2B5EF4-FFF2-40B4-BE49-F238E27FC236}">
                          <a16:creationId xmlns:a16="http://schemas.microsoft.com/office/drawing/2014/main" id="{00000000-0008-0000-0800-000072000000}"/>
                        </a:ext>
                      </a:extLst>
                    </xdr:cNvPr>
                    <xdr:cNvSpPr/>
                  </xdr:nvSpPr>
                  <xdr:spPr>
                    <a:xfrm>
                      <a:off x="10538110" y="1433241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86546A1-C646-4F7E-BA1D-86E6CE846338}" type="TxLink">
                        <a:rPr lang="en-US" sz="1100" b="1" i="0" u="none" strike="noStrike">
                          <a:solidFill>
                            <a:srgbClr val="FFFF00"/>
                          </a:solidFill>
                          <a:latin typeface="Century Gothic"/>
                        </a:rPr>
                        <a:pPr algn="ctr"/>
                        <a:t>3</a:t>
                      </a:fld>
                      <a:endParaRPr lang="es-CO" sz="4400" b="1">
                        <a:solidFill>
                          <a:srgbClr val="FFFF00"/>
                        </a:solidFill>
                      </a:endParaRPr>
                    </a:p>
                  </xdr:txBody>
                </xdr:sp>
                <xdr:sp macro="" textlink="">
                  <xdr:nvSpPr>
                    <xdr:cNvPr id="115" name="CuadroTexto 114">
                      <a:extLst>
                        <a:ext uri="{FF2B5EF4-FFF2-40B4-BE49-F238E27FC236}">
                          <a16:creationId xmlns:a16="http://schemas.microsoft.com/office/drawing/2014/main" id="{00000000-0008-0000-0800-000073000000}"/>
                        </a:ext>
                      </a:extLst>
                    </xdr:cNvPr>
                    <xdr:cNvSpPr txBox="1"/>
                  </xdr:nvSpPr>
                  <xdr:spPr>
                    <a:xfrm>
                      <a:off x="10235530" y="1432565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9" name="Grupo 8">
                <a:extLst>
                  <a:ext uri="{FF2B5EF4-FFF2-40B4-BE49-F238E27FC236}">
                    <a16:creationId xmlns:a16="http://schemas.microsoft.com/office/drawing/2014/main" id="{00000000-0008-0000-0800-000009000000}"/>
                  </a:ext>
                </a:extLst>
              </xdr:cNvPr>
              <xdr:cNvGrpSpPr/>
            </xdr:nvGrpSpPr>
            <xdr:grpSpPr>
              <a:xfrm>
                <a:off x="387640" y="14857065"/>
                <a:ext cx="10838927" cy="1930216"/>
                <a:chOff x="386443" y="14671682"/>
                <a:chExt cx="10841352" cy="1895629"/>
              </a:xfrm>
            </xdr:grpSpPr>
            <xdr:grpSp>
              <xdr:nvGrpSpPr>
                <xdr:cNvPr id="24" name="Grupo 23">
                  <a:extLst>
                    <a:ext uri="{FF2B5EF4-FFF2-40B4-BE49-F238E27FC236}">
                      <a16:creationId xmlns:a16="http://schemas.microsoft.com/office/drawing/2014/main" id="{00000000-0008-0000-0800-000018000000}"/>
                    </a:ext>
                  </a:extLst>
                </xdr:cNvPr>
                <xdr:cNvGrpSpPr/>
              </xdr:nvGrpSpPr>
              <xdr:grpSpPr>
                <a:xfrm>
                  <a:off x="386443" y="14956963"/>
                  <a:ext cx="720000" cy="1610348"/>
                  <a:chOff x="27391177" y="8406495"/>
                  <a:chExt cx="720000" cy="1610348"/>
                </a:xfrm>
              </xdr:grpSpPr>
              <xdr:sp macro="" textlink="">
                <xdr:nvSpPr>
                  <xdr:cNvPr id="98" name="Rectángulo 97">
                    <a:extLst>
                      <a:ext uri="{FF2B5EF4-FFF2-40B4-BE49-F238E27FC236}">
                        <a16:creationId xmlns:a16="http://schemas.microsoft.com/office/drawing/2014/main" id="{00000000-0008-0000-0800-000062000000}"/>
                      </a:ext>
                    </a:extLst>
                  </xdr:cNvPr>
                  <xdr:cNvSpPr/>
                </xdr:nvSpPr>
                <xdr:spPr>
                  <a:xfrm>
                    <a:off x="27391177" y="8450034"/>
                    <a:ext cx="720000"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9" name="CuadroTexto 98">
                    <a:extLst>
                      <a:ext uri="{FF2B5EF4-FFF2-40B4-BE49-F238E27FC236}">
                        <a16:creationId xmlns:a16="http://schemas.microsoft.com/office/drawing/2014/main" id="{00000000-0008-0000-0800-000063000000}"/>
                      </a:ext>
                    </a:extLst>
                  </xdr:cNvPr>
                  <xdr:cNvSpPr txBox="1"/>
                </xdr:nvSpPr>
                <xdr:spPr>
                  <a:xfrm rot="16200000">
                    <a:off x="26930701"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25" name="Flecha abajo 24">
                  <a:extLst>
                    <a:ext uri="{FF2B5EF4-FFF2-40B4-BE49-F238E27FC236}">
                      <a16:creationId xmlns:a16="http://schemas.microsoft.com/office/drawing/2014/main" id="{00000000-0008-0000-0800-000019000000}"/>
                    </a:ext>
                  </a:extLst>
                </xdr:cNvPr>
                <xdr:cNvSpPr/>
              </xdr:nvSpPr>
              <xdr:spPr>
                <a:xfrm rot="10800000">
                  <a:off x="5788521" y="14671682"/>
                  <a:ext cx="468000" cy="288000"/>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6" name="Grupo 25">
                  <a:extLst>
                    <a:ext uri="{FF2B5EF4-FFF2-40B4-BE49-F238E27FC236}">
                      <a16:creationId xmlns:a16="http://schemas.microsoft.com/office/drawing/2014/main" id="{00000000-0008-0000-0800-00001A000000}"/>
                    </a:ext>
                  </a:extLst>
                </xdr:cNvPr>
                <xdr:cNvGrpSpPr/>
              </xdr:nvGrpSpPr>
              <xdr:grpSpPr>
                <a:xfrm>
                  <a:off x="1232807" y="15003214"/>
                  <a:ext cx="2160000" cy="747069"/>
                  <a:chOff x="1232807" y="15003214"/>
                  <a:chExt cx="2160000" cy="747069"/>
                </a:xfrm>
              </xdr:grpSpPr>
              <xdr:grpSp>
                <xdr:nvGrpSpPr>
                  <xdr:cNvPr id="90" name="Grupo 89">
                    <a:extLst>
                      <a:ext uri="{FF2B5EF4-FFF2-40B4-BE49-F238E27FC236}">
                        <a16:creationId xmlns:a16="http://schemas.microsoft.com/office/drawing/2014/main" id="{00000000-0008-0000-0800-00005A000000}"/>
                      </a:ext>
                    </a:extLst>
                  </xdr:cNvPr>
                  <xdr:cNvGrpSpPr/>
                </xdr:nvGrpSpPr>
                <xdr:grpSpPr>
                  <a:xfrm>
                    <a:off x="1232807" y="15003214"/>
                    <a:ext cx="2160000" cy="726638"/>
                    <a:chOff x="28351843" y="12458683"/>
                    <a:chExt cx="2160000" cy="726638"/>
                  </a:xfrm>
                </xdr:grpSpPr>
                <xdr:sp macro="" textlink="">
                  <xdr:nvSpPr>
                    <xdr:cNvPr id="95" name="Cheurón 94">
                      <a:extLst>
                        <a:ext uri="{FF2B5EF4-FFF2-40B4-BE49-F238E27FC236}">
                          <a16:creationId xmlns:a16="http://schemas.microsoft.com/office/drawing/2014/main" id="{00000000-0008-0000-0800-00005F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6" name="CuadroTexto 95">
                      <a:extLst>
                        <a:ext uri="{FF2B5EF4-FFF2-40B4-BE49-F238E27FC236}">
                          <a16:creationId xmlns:a16="http://schemas.microsoft.com/office/drawing/2014/main" id="{00000000-0008-0000-0800-00006000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S$20">
                  <xdr:nvSpPr>
                    <xdr:cNvPr id="97" name="Rectángulo redondeado 96">
                      <a:extLst>
                        <a:ext uri="{FF2B5EF4-FFF2-40B4-BE49-F238E27FC236}">
                          <a16:creationId xmlns:a16="http://schemas.microsoft.com/office/drawing/2014/main" id="{00000000-0008-0000-0800-000061000000}"/>
                        </a:ext>
                      </a:extLst>
                    </xdr:cNvPr>
                    <xdr:cNvSpPr/>
                  </xdr:nvSpPr>
                  <xdr:spPr>
                    <a:xfrm>
                      <a:off x="29557264" y="1257903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7B9DA45-1564-4925-8E3C-F1C11C6F788C}" type="TxLink">
                        <a:rPr lang="en-US" sz="1600" b="1" i="0" u="none" strike="noStrike">
                          <a:solidFill>
                            <a:srgbClr val="FFFF00"/>
                          </a:solidFill>
                          <a:latin typeface="Century Gothic"/>
                        </a:rPr>
                        <a:pPr algn="ctr"/>
                        <a:t>80,0%</a:t>
                      </a:fld>
                      <a:endParaRPr lang="es-CO" sz="2000">
                        <a:solidFill>
                          <a:srgbClr val="FFFF00"/>
                        </a:solidFill>
                      </a:endParaRPr>
                    </a:p>
                  </xdr:txBody>
                </xdr:sp>
              </xdr:grpSp>
              <xdr:grpSp>
                <xdr:nvGrpSpPr>
                  <xdr:cNvPr id="91" name="Grupo 90">
                    <a:extLst>
                      <a:ext uri="{FF2B5EF4-FFF2-40B4-BE49-F238E27FC236}">
                        <a16:creationId xmlns:a16="http://schemas.microsoft.com/office/drawing/2014/main" id="{00000000-0008-0000-0800-00005B000000}"/>
                      </a:ext>
                    </a:extLst>
                  </xdr:cNvPr>
                  <xdr:cNvGrpSpPr/>
                </xdr:nvGrpSpPr>
                <xdr:grpSpPr>
                  <a:xfrm>
                    <a:off x="2474511" y="15468653"/>
                    <a:ext cx="770852" cy="281630"/>
                    <a:chOff x="2474511" y="15468653"/>
                    <a:chExt cx="770852" cy="281630"/>
                  </a:xfrm>
                </xdr:grpSpPr>
                <xdr:sp macro="" textlink="$K$20">
                  <xdr:nvSpPr>
                    <xdr:cNvPr id="92" name="Rectángulo 91">
                      <a:extLst>
                        <a:ext uri="{FF2B5EF4-FFF2-40B4-BE49-F238E27FC236}">
                          <a16:creationId xmlns:a16="http://schemas.microsoft.com/office/drawing/2014/main" id="{00000000-0008-0000-0800-00005C000000}"/>
                        </a:ext>
                      </a:extLst>
                    </xdr:cNvPr>
                    <xdr:cNvSpPr/>
                  </xdr:nvSpPr>
                  <xdr:spPr>
                    <a:xfrm>
                      <a:off x="2490114" y="15478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6A62B81-4455-4CFB-8D9D-AE6C5702C82E}"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0">
                  <xdr:nvSpPr>
                    <xdr:cNvPr id="93" name="Rectángulo 92">
                      <a:extLst>
                        <a:ext uri="{FF2B5EF4-FFF2-40B4-BE49-F238E27FC236}">
                          <a16:creationId xmlns:a16="http://schemas.microsoft.com/office/drawing/2014/main" id="{00000000-0008-0000-0800-00005D000000}"/>
                        </a:ext>
                      </a:extLst>
                    </xdr:cNvPr>
                    <xdr:cNvSpPr/>
                  </xdr:nvSpPr>
                  <xdr:spPr>
                    <a:xfrm>
                      <a:off x="2766208" y="15478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2BC07F-426B-4653-907F-59D5C6316511}" type="TxLink">
                        <a:rPr lang="en-US" sz="1100" b="1" i="0" u="none" strike="noStrike">
                          <a:solidFill>
                            <a:srgbClr val="FFFF00"/>
                          </a:solidFill>
                          <a:latin typeface="Century Gothic"/>
                        </a:rPr>
                        <a:pPr algn="ctr"/>
                        <a:t>5</a:t>
                      </a:fld>
                      <a:endParaRPr lang="es-CO" sz="4400" b="1">
                        <a:solidFill>
                          <a:srgbClr val="FFFF00"/>
                        </a:solidFill>
                      </a:endParaRPr>
                    </a:p>
                  </xdr:txBody>
                </xdr:sp>
                <xdr:sp macro="" textlink="">
                  <xdr:nvSpPr>
                    <xdr:cNvPr id="94" name="CuadroTexto 93">
                      <a:extLst>
                        <a:ext uri="{FF2B5EF4-FFF2-40B4-BE49-F238E27FC236}">
                          <a16:creationId xmlns:a16="http://schemas.microsoft.com/office/drawing/2014/main" id="{00000000-0008-0000-0800-00005E000000}"/>
                        </a:ext>
                      </a:extLst>
                    </xdr:cNvPr>
                    <xdr:cNvSpPr txBox="1"/>
                  </xdr:nvSpPr>
                  <xdr:spPr>
                    <a:xfrm>
                      <a:off x="2474511" y="154686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27" name="Grupo 26">
                  <a:extLst>
                    <a:ext uri="{FF2B5EF4-FFF2-40B4-BE49-F238E27FC236}">
                      <a16:creationId xmlns:a16="http://schemas.microsoft.com/office/drawing/2014/main" id="{00000000-0008-0000-0800-00001B000000}"/>
                    </a:ext>
                  </a:extLst>
                </xdr:cNvPr>
                <xdr:cNvGrpSpPr/>
              </xdr:nvGrpSpPr>
              <xdr:grpSpPr>
                <a:xfrm>
                  <a:off x="3181350" y="15005937"/>
                  <a:ext cx="2160000" cy="760676"/>
                  <a:chOff x="3181350" y="15005937"/>
                  <a:chExt cx="2160000" cy="760676"/>
                </a:xfrm>
              </xdr:grpSpPr>
              <xdr:grpSp>
                <xdr:nvGrpSpPr>
                  <xdr:cNvPr id="82" name="Grupo 81">
                    <a:extLst>
                      <a:ext uri="{FF2B5EF4-FFF2-40B4-BE49-F238E27FC236}">
                        <a16:creationId xmlns:a16="http://schemas.microsoft.com/office/drawing/2014/main" id="{00000000-0008-0000-0800-000052000000}"/>
                      </a:ext>
                    </a:extLst>
                  </xdr:cNvPr>
                  <xdr:cNvGrpSpPr/>
                </xdr:nvGrpSpPr>
                <xdr:grpSpPr>
                  <a:xfrm>
                    <a:off x="3181350" y="15005937"/>
                    <a:ext cx="2160000" cy="726638"/>
                    <a:chOff x="28351843" y="12458683"/>
                    <a:chExt cx="2160000" cy="726638"/>
                  </a:xfrm>
                </xdr:grpSpPr>
                <xdr:sp macro="" textlink="">
                  <xdr:nvSpPr>
                    <xdr:cNvPr id="87" name="Cheurón 86">
                      <a:extLst>
                        <a:ext uri="{FF2B5EF4-FFF2-40B4-BE49-F238E27FC236}">
                          <a16:creationId xmlns:a16="http://schemas.microsoft.com/office/drawing/2014/main" id="{00000000-0008-0000-0800-000057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8" name="CuadroTexto 87">
                      <a:extLst>
                        <a:ext uri="{FF2B5EF4-FFF2-40B4-BE49-F238E27FC236}">
                          <a16:creationId xmlns:a16="http://schemas.microsoft.com/office/drawing/2014/main" id="{00000000-0008-0000-0800-000058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S$21">
                  <xdr:nvSpPr>
                    <xdr:cNvPr id="89" name="Rectángulo redondeado 88">
                      <a:extLst>
                        <a:ext uri="{FF2B5EF4-FFF2-40B4-BE49-F238E27FC236}">
                          <a16:creationId xmlns:a16="http://schemas.microsoft.com/office/drawing/2014/main" id="{00000000-0008-0000-0800-000059000000}"/>
                        </a:ext>
                      </a:extLst>
                    </xdr:cNvPr>
                    <xdr:cNvSpPr/>
                  </xdr:nvSpPr>
                  <xdr:spPr>
                    <a:xfrm>
                      <a:off x="29557264"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DC79ED9-21C8-498C-A82F-97D43F395171}" type="TxLink">
                        <a:rPr lang="en-US" sz="1600" b="1" i="0" u="none" strike="noStrike">
                          <a:solidFill>
                            <a:srgbClr val="FFFF00"/>
                          </a:solidFill>
                          <a:latin typeface="Century Gothic"/>
                        </a:rPr>
                        <a:pPr algn="ctr"/>
                        <a:t>17,6%</a:t>
                      </a:fld>
                      <a:endParaRPr lang="es-CO" sz="2800">
                        <a:solidFill>
                          <a:srgbClr val="FFFF00"/>
                        </a:solidFill>
                      </a:endParaRPr>
                    </a:p>
                  </xdr:txBody>
                </xdr:sp>
              </xdr:grpSp>
              <xdr:grpSp>
                <xdr:nvGrpSpPr>
                  <xdr:cNvPr id="83" name="Grupo 82">
                    <a:extLst>
                      <a:ext uri="{FF2B5EF4-FFF2-40B4-BE49-F238E27FC236}">
                        <a16:creationId xmlns:a16="http://schemas.microsoft.com/office/drawing/2014/main" id="{00000000-0008-0000-0800-000053000000}"/>
                      </a:ext>
                    </a:extLst>
                  </xdr:cNvPr>
                  <xdr:cNvGrpSpPr/>
                </xdr:nvGrpSpPr>
                <xdr:grpSpPr>
                  <a:xfrm>
                    <a:off x="4435171" y="15473755"/>
                    <a:ext cx="770852" cy="292858"/>
                    <a:chOff x="4435171" y="15473755"/>
                    <a:chExt cx="770852" cy="292858"/>
                  </a:xfrm>
                </xdr:grpSpPr>
                <xdr:sp macro="" textlink="$K$21">
                  <xdr:nvSpPr>
                    <xdr:cNvPr id="84" name="Rectángulo 83">
                      <a:extLst>
                        <a:ext uri="{FF2B5EF4-FFF2-40B4-BE49-F238E27FC236}">
                          <a16:creationId xmlns:a16="http://schemas.microsoft.com/office/drawing/2014/main" id="{00000000-0008-0000-0800-000054000000}"/>
                        </a:ext>
                      </a:extLst>
                    </xdr:cNvPr>
                    <xdr:cNvSpPr/>
                  </xdr:nvSpPr>
                  <xdr:spPr>
                    <a:xfrm>
                      <a:off x="4465868" y="1549447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F91F8C-D466-485E-AAA4-2C228A81F484}" type="TxLink">
                        <a:rPr lang="en-US" sz="1100" b="1" i="0" u="none" strike="noStrike">
                          <a:solidFill>
                            <a:srgbClr val="FFFF00"/>
                          </a:solidFill>
                          <a:latin typeface="Century Gothic"/>
                        </a:rPr>
                        <a:pPr algn="ctr"/>
                        <a:t>3</a:t>
                      </a:fld>
                      <a:endParaRPr lang="es-CO" sz="4400" b="1">
                        <a:solidFill>
                          <a:srgbClr val="FFFF00"/>
                        </a:solidFill>
                      </a:endParaRPr>
                    </a:p>
                  </xdr:txBody>
                </xdr:sp>
                <xdr:sp macro="" textlink="$J$21">
                  <xdr:nvSpPr>
                    <xdr:cNvPr id="85" name="Rectángulo 84">
                      <a:extLst>
                        <a:ext uri="{FF2B5EF4-FFF2-40B4-BE49-F238E27FC236}">
                          <a16:creationId xmlns:a16="http://schemas.microsoft.com/office/drawing/2014/main" id="{00000000-0008-0000-0800-000055000000}"/>
                        </a:ext>
                      </a:extLst>
                    </xdr:cNvPr>
                    <xdr:cNvSpPr/>
                  </xdr:nvSpPr>
                  <xdr:spPr>
                    <a:xfrm>
                      <a:off x="4728356" y="1549447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DEDAC5-71CE-4B1F-959E-A434CDEE9909}" type="TxLink">
                        <a:rPr lang="en-US" sz="1100" b="1" i="0" u="none" strike="noStrike">
                          <a:solidFill>
                            <a:srgbClr val="FFFF00"/>
                          </a:solidFill>
                          <a:latin typeface="Century Gothic"/>
                        </a:rPr>
                        <a:pPr algn="ctr"/>
                        <a:t>17</a:t>
                      </a:fld>
                      <a:endParaRPr lang="es-CO" sz="4400" b="1">
                        <a:solidFill>
                          <a:srgbClr val="FFFF00"/>
                        </a:solidFill>
                      </a:endParaRPr>
                    </a:p>
                  </xdr:txBody>
                </xdr:sp>
                <xdr:sp macro="" textlink="">
                  <xdr:nvSpPr>
                    <xdr:cNvPr id="86" name="CuadroTexto 85">
                      <a:extLst>
                        <a:ext uri="{FF2B5EF4-FFF2-40B4-BE49-F238E27FC236}">
                          <a16:creationId xmlns:a16="http://schemas.microsoft.com/office/drawing/2014/main" id="{00000000-0008-0000-0800-000056000000}"/>
                        </a:ext>
                      </a:extLst>
                    </xdr:cNvPr>
                    <xdr:cNvSpPr txBox="1"/>
                  </xdr:nvSpPr>
                  <xdr:spPr>
                    <a:xfrm>
                      <a:off x="4435171" y="154737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28" name="Grupo 27">
                  <a:extLst>
                    <a:ext uri="{FF2B5EF4-FFF2-40B4-BE49-F238E27FC236}">
                      <a16:creationId xmlns:a16="http://schemas.microsoft.com/office/drawing/2014/main" id="{00000000-0008-0000-0800-00001C000000}"/>
                    </a:ext>
                  </a:extLst>
                </xdr:cNvPr>
                <xdr:cNvGrpSpPr/>
              </xdr:nvGrpSpPr>
              <xdr:grpSpPr>
                <a:xfrm>
                  <a:off x="5143494" y="15008660"/>
                  <a:ext cx="2195849" cy="760676"/>
                  <a:chOff x="5143494" y="15008660"/>
                  <a:chExt cx="2195849" cy="760676"/>
                </a:xfrm>
              </xdr:grpSpPr>
              <xdr:grpSp>
                <xdr:nvGrpSpPr>
                  <xdr:cNvPr id="74" name="Grupo 73">
                    <a:extLst>
                      <a:ext uri="{FF2B5EF4-FFF2-40B4-BE49-F238E27FC236}">
                        <a16:creationId xmlns:a16="http://schemas.microsoft.com/office/drawing/2014/main" id="{00000000-0008-0000-0800-00004A000000}"/>
                      </a:ext>
                    </a:extLst>
                  </xdr:cNvPr>
                  <xdr:cNvGrpSpPr/>
                </xdr:nvGrpSpPr>
                <xdr:grpSpPr>
                  <a:xfrm>
                    <a:off x="5143494" y="15008660"/>
                    <a:ext cx="2195849" cy="726638"/>
                    <a:chOff x="28351843" y="12458683"/>
                    <a:chExt cx="2195849" cy="726638"/>
                  </a:xfrm>
                </xdr:grpSpPr>
                <xdr:sp macro="" textlink="">
                  <xdr:nvSpPr>
                    <xdr:cNvPr id="79" name="Cheurón 78">
                      <a:extLst>
                        <a:ext uri="{FF2B5EF4-FFF2-40B4-BE49-F238E27FC236}">
                          <a16:creationId xmlns:a16="http://schemas.microsoft.com/office/drawing/2014/main" id="{00000000-0008-0000-0800-00004F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0" name="CuadroTexto 79">
                      <a:extLst>
                        <a:ext uri="{FF2B5EF4-FFF2-40B4-BE49-F238E27FC236}">
                          <a16:creationId xmlns:a16="http://schemas.microsoft.com/office/drawing/2014/main" id="{00000000-0008-0000-0800-000050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S$22">
                  <xdr:nvSpPr>
                    <xdr:cNvPr id="81" name="Rectángulo redondeado 80">
                      <a:extLst>
                        <a:ext uri="{FF2B5EF4-FFF2-40B4-BE49-F238E27FC236}">
                          <a16:creationId xmlns:a16="http://schemas.microsoft.com/office/drawing/2014/main" id="{00000000-0008-0000-0800-000051000000}"/>
                        </a:ext>
                      </a:extLst>
                    </xdr:cNvPr>
                    <xdr:cNvSpPr/>
                  </xdr:nvSpPr>
                  <xdr:spPr>
                    <a:xfrm>
                      <a:off x="29611692"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409F841-DDAC-4C2A-9E8A-BD2C3A4657E2}" type="TxLink">
                        <a:rPr lang="en-US" sz="1600" b="1" i="0" u="none" strike="noStrike">
                          <a:solidFill>
                            <a:srgbClr val="FFFF00"/>
                          </a:solidFill>
                          <a:latin typeface="Century Gothic"/>
                        </a:rPr>
                        <a:pPr algn="ctr"/>
                        <a:t>25,0%</a:t>
                      </a:fld>
                      <a:endParaRPr lang="es-CO" sz="3600">
                        <a:solidFill>
                          <a:srgbClr val="FFFF00"/>
                        </a:solidFill>
                      </a:endParaRPr>
                    </a:p>
                  </xdr:txBody>
                </xdr:sp>
              </xdr:grpSp>
              <xdr:grpSp>
                <xdr:nvGrpSpPr>
                  <xdr:cNvPr id="75" name="Grupo 74">
                    <a:extLst>
                      <a:ext uri="{FF2B5EF4-FFF2-40B4-BE49-F238E27FC236}">
                        <a16:creationId xmlns:a16="http://schemas.microsoft.com/office/drawing/2014/main" id="{00000000-0008-0000-0800-00004B000000}"/>
                      </a:ext>
                    </a:extLst>
                  </xdr:cNvPr>
                  <xdr:cNvGrpSpPr/>
                </xdr:nvGrpSpPr>
                <xdr:grpSpPr>
                  <a:xfrm>
                    <a:off x="6408208" y="15490762"/>
                    <a:ext cx="770852" cy="278574"/>
                    <a:chOff x="6435422" y="15490762"/>
                    <a:chExt cx="770852" cy="278574"/>
                  </a:xfrm>
                </xdr:grpSpPr>
                <xdr:sp macro="" textlink="$K$22">
                  <xdr:nvSpPr>
                    <xdr:cNvPr id="76" name="Rectángulo 75">
                      <a:extLst>
                        <a:ext uri="{FF2B5EF4-FFF2-40B4-BE49-F238E27FC236}">
                          <a16:creationId xmlns:a16="http://schemas.microsoft.com/office/drawing/2014/main" id="{00000000-0008-0000-0800-00004C000000}"/>
                        </a:ext>
                      </a:extLst>
                    </xdr:cNvPr>
                    <xdr:cNvSpPr/>
                  </xdr:nvSpPr>
                  <xdr:spPr>
                    <a:xfrm>
                      <a:off x="6468837" y="1549719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7804FE1-8E3C-44E1-AE68-FA30E05894E7}"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22">
                  <xdr:nvSpPr>
                    <xdr:cNvPr id="77" name="Rectángulo 76">
                      <a:extLst>
                        <a:ext uri="{FF2B5EF4-FFF2-40B4-BE49-F238E27FC236}">
                          <a16:creationId xmlns:a16="http://schemas.microsoft.com/office/drawing/2014/main" id="{00000000-0008-0000-0800-00004D000000}"/>
                        </a:ext>
                      </a:extLst>
                    </xdr:cNvPr>
                    <xdr:cNvSpPr/>
                  </xdr:nvSpPr>
                  <xdr:spPr>
                    <a:xfrm>
                      <a:off x="6744932" y="1549719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312D0E3-57BF-4878-A224-EFCDD0B2E595}"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
                  <xdr:nvSpPr>
                    <xdr:cNvPr id="78" name="CuadroTexto 77">
                      <a:extLst>
                        <a:ext uri="{FF2B5EF4-FFF2-40B4-BE49-F238E27FC236}">
                          <a16:creationId xmlns:a16="http://schemas.microsoft.com/office/drawing/2014/main" id="{00000000-0008-0000-0800-00004E000000}"/>
                        </a:ext>
                      </a:extLst>
                    </xdr:cNvPr>
                    <xdr:cNvSpPr txBox="1"/>
                  </xdr:nvSpPr>
                  <xdr:spPr>
                    <a:xfrm>
                      <a:off x="6435422" y="1549076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29" name="Grupo 28">
                  <a:extLst>
                    <a:ext uri="{FF2B5EF4-FFF2-40B4-BE49-F238E27FC236}">
                      <a16:creationId xmlns:a16="http://schemas.microsoft.com/office/drawing/2014/main" id="{00000000-0008-0000-0800-00001D000000}"/>
                    </a:ext>
                  </a:extLst>
                </xdr:cNvPr>
                <xdr:cNvGrpSpPr/>
              </xdr:nvGrpSpPr>
              <xdr:grpSpPr>
                <a:xfrm>
                  <a:off x="7105645" y="15011383"/>
                  <a:ext cx="2160000" cy="747069"/>
                  <a:chOff x="7105645" y="15011383"/>
                  <a:chExt cx="2160000" cy="747069"/>
                </a:xfrm>
              </xdr:grpSpPr>
              <xdr:grpSp>
                <xdr:nvGrpSpPr>
                  <xdr:cNvPr id="66" name="Grupo 65">
                    <a:extLst>
                      <a:ext uri="{FF2B5EF4-FFF2-40B4-BE49-F238E27FC236}">
                        <a16:creationId xmlns:a16="http://schemas.microsoft.com/office/drawing/2014/main" id="{00000000-0008-0000-0800-000042000000}"/>
                      </a:ext>
                    </a:extLst>
                  </xdr:cNvPr>
                  <xdr:cNvGrpSpPr/>
                </xdr:nvGrpSpPr>
                <xdr:grpSpPr>
                  <a:xfrm>
                    <a:off x="7105645" y="15011383"/>
                    <a:ext cx="2160000" cy="726638"/>
                    <a:chOff x="28351843" y="12458683"/>
                    <a:chExt cx="2160000" cy="726638"/>
                  </a:xfrm>
                </xdr:grpSpPr>
                <xdr:sp macro="" textlink="">
                  <xdr:nvSpPr>
                    <xdr:cNvPr id="71" name="Cheurón 70">
                      <a:extLst>
                        <a:ext uri="{FF2B5EF4-FFF2-40B4-BE49-F238E27FC236}">
                          <a16:creationId xmlns:a16="http://schemas.microsoft.com/office/drawing/2014/main" id="{00000000-0008-0000-0800-000047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2" name="CuadroTexto 71">
                      <a:extLst>
                        <a:ext uri="{FF2B5EF4-FFF2-40B4-BE49-F238E27FC236}">
                          <a16:creationId xmlns:a16="http://schemas.microsoft.com/office/drawing/2014/main" id="{00000000-0008-0000-0800-000048000000}"/>
                        </a:ext>
                      </a:extLst>
                    </xdr:cNvPr>
                    <xdr:cNvSpPr txBox="1"/>
                  </xdr:nvSpPr>
                  <xdr:spPr>
                    <a:xfrm>
                      <a:off x="284966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S$23">
                  <xdr:nvSpPr>
                    <xdr:cNvPr id="73" name="Rectángulo redondeado 72">
                      <a:extLst>
                        <a:ext uri="{FF2B5EF4-FFF2-40B4-BE49-F238E27FC236}">
                          <a16:creationId xmlns:a16="http://schemas.microsoft.com/office/drawing/2014/main" id="{00000000-0008-0000-0800-000049000000}"/>
                        </a:ext>
                      </a:extLst>
                    </xdr:cNvPr>
                    <xdr:cNvSpPr/>
                  </xdr:nvSpPr>
                  <xdr:spPr>
                    <a:xfrm>
                      <a:off x="29570871"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697ABF5-F1C2-4F4D-89EA-8D4544611577}" type="TxLink">
                        <a:rPr lang="en-US" sz="1600" b="1" i="0" u="none" strike="noStrike">
                          <a:solidFill>
                            <a:srgbClr val="FFFF00"/>
                          </a:solidFill>
                          <a:latin typeface="Century Gothic"/>
                        </a:rPr>
                        <a:pPr algn="ctr"/>
                        <a:t>33,3%</a:t>
                      </a:fld>
                      <a:endParaRPr lang="es-CO" sz="4400">
                        <a:solidFill>
                          <a:srgbClr val="FFFF00"/>
                        </a:solidFill>
                      </a:endParaRPr>
                    </a:p>
                  </xdr:txBody>
                </xdr:sp>
              </xdr:grpSp>
              <xdr:grpSp>
                <xdr:nvGrpSpPr>
                  <xdr:cNvPr id="67" name="Grupo 66">
                    <a:extLst>
                      <a:ext uri="{FF2B5EF4-FFF2-40B4-BE49-F238E27FC236}">
                        <a16:creationId xmlns:a16="http://schemas.microsoft.com/office/drawing/2014/main" id="{00000000-0008-0000-0800-000043000000}"/>
                      </a:ext>
                    </a:extLst>
                  </xdr:cNvPr>
                  <xdr:cNvGrpSpPr/>
                </xdr:nvGrpSpPr>
                <xdr:grpSpPr>
                  <a:xfrm>
                    <a:off x="8331760" y="15473756"/>
                    <a:ext cx="770852" cy="284696"/>
                    <a:chOff x="8331760" y="15473756"/>
                    <a:chExt cx="770852" cy="284696"/>
                  </a:xfrm>
                </xdr:grpSpPr>
                <xdr:sp macro="" textlink="$K$23">
                  <xdr:nvSpPr>
                    <xdr:cNvPr id="68" name="Rectángulo 67">
                      <a:extLst>
                        <a:ext uri="{FF2B5EF4-FFF2-40B4-BE49-F238E27FC236}">
                          <a16:creationId xmlns:a16="http://schemas.microsoft.com/office/drawing/2014/main" id="{00000000-0008-0000-0800-000044000000}"/>
                        </a:ext>
                      </a:extLst>
                    </xdr:cNvPr>
                    <xdr:cNvSpPr/>
                  </xdr:nvSpPr>
                  <xdr:spPr>
                    <a:xfrm>
                      <a:off x="8362953" y="154863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21B05C-139C-477C-86F6-AAC766EC8DC4}"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3">
                  <xdr:nvSpPr>
                    <xdr:cNvPr id="69" name="Rectángulo 68">
                      <a:extLst>
                        <a:ext uri="{FF2B5EF4-FFF2-40B4-BE49-F238E27FC236}">
                          <a16:creationId xmlns:a16="http://schemas.microsoft.com/office/drawing/2014/main" id="{00000000-0008-0000-0800-000045000000}"/>
                        </a:ext>
                      </a:extLst>
                    </xdr:cNvPr>
                    <xdr:cNvSpPr/>
                  </xdr:nvSpPr>
                  <xdr:spPr>
                    <a:xfrm>
                      <a:off x="8625440" y="154863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AE97232-4C1C-4466-B666-258B123901D3}" type="TxLink">
                        <a:rPr lang="en-US" sz="1100" b="1" i="0" u="none" strike="noStrike">
                          <a:solidFill>
                            <a:srgbClr val="FFFF00"/>
                          </a:solidFill>
                          <a:latin typeface="Century Gothic"/>
                        </a:rPr>
                        <a:pPr algn="ctr"/>
                        <a:t>12</a:t>
                      </a:fld>
                      <a:endParaRPr lang="es-CO" sz="4400" b="1">
                        <a:solidFill>
                          <a:srgbClr val="FFFF00"/>
                        </a:solidFill>
                      </a:endParaRPr>
                    </a:p>
                  </xdr:txBody>
                </xdr:sp>
                <xdr:sp macro="" textlink="">
                  <xdr:nvSpPr>
                    <xdr:cNvPr id="70" name="CuadroTexto 69">
                      <a:extLst>
                        <a:ext uri="{FF2B5EF4-FFF2-40B4-BE49-F238E27FC236}">
                          <a16:creationId xmlns:a16="http://schemas.microsoft.com/office/drawing/2014/main" id="{00000000-0008-0000-0800-000046000000}"/>
                        </a:ext>
                      </a:extLst>
                    </xdr:cNvPr>
                    <xdr:cNvSpPr txBox="1"/>
                  </xdr:nvSpPr>
                  <xdr:spPr>
                    <a:xfrm>
                      <a:off x="8331760" y="1547375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0" name="Grupo 29">
                  <a:extLst>
                    <a:ext uri="{FF2B5EF4-FFF2-40B4-BE49-F238E27FC236}">
                      <a16:creationId xmlns:a16="http://schemas.microsoft.com/office/drawing/2014/main" id="{00000000-0008-0000-0800-00001E000000}"/>
                    </a:ext>
                  </a:extLst>
                </xdr:cNvPr>
                <xdr:cNvGrpSpPr/>
              </xdr:nvGrpSpPr>
              <xdr:grpSpPr>
                <a:xfrm>
                  <a:off x="9067795" y="15014106"/>
                  <a:ext cx="2160000" cy="747069"/>
                  <a:chOff x="9067795" y="15014106"/>
                  <a:chExt cx="2160000" cy="747069"/>
                </a:xfrm>
              </xdr:grpSpPr>
              <xdr:grpSp>
                <xdr:nvGrpSpPr>
                  <xdr:cNvPr id="58" name="Grupo 57">
                    <a:extLst>
                      <a:ext uri="{FF2B5EF4-FFF2-40B4-BE49-F238E27FC236}">
                        <a16:creationId xmlns:a16="http://schemas.microsoft.com/office/drawing/2014/main" id="{00000000-0008-0000-0800-00003A000000}"/>
                      </a:ext>
                    </a:extLst>
                  </xdr:cNvPr>
                  <xdr:cNvGrpSpPr/>
                </xdr:nvGrpSpPr>
                <xdr:grpSpPr>
                  <a:xfrm>
                    <a:off x="9067795" y="15014106"/>
                    <a:ext cx="2160000" cy="726638"/>
                    <a:chOff x="28351843" y="12458683"/>
                    <a:chExt cx="2160000" cy="726638"/>
                  </a:xfrm>
                </xdr:grpSpPr>
                <xdr:sp macro="" textlink="">
                  <xdr:nvSpPr>
                    <xdr:cNvPr id="63" name="Cheurón 62">
                      <a:extLst>
                        <a:ext uri="{FF2B5EF4-FFF2-40B4-BE49-F238E27FC236}">
                          <a16:creationId xmlns:a16="http://schemas.microsoft.com/office/drawing/2014/main" id="{00000000-0008-0000-0800-00003F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4" name="CuadroTexto 63">
                      <a:extLst>
                        <a:ext uri="{FF2B5EF4-FFF2-40B4-BE49-F238E27FC236}">
                          <a16:creationId xmlns:a16="http://schemas.microsoft.com/office/drawing/2014/main" id="{00000000-0008-0000-0800-000040000000}"/>
                        </a:ext>
                      </a:extLst>
                    </xdr:cNvPr>
                    <xdr:cNvSpPr txBox="1"/>
                  </xdr:nvSpPr>
                  <xdr:spPr>
                    <a:xfrm>
                      <a:off x="284966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S$24">
                  <xdr:nvSpPr>
                    <xdr:cNvPr id="65" name="Rectángulo redondeado 64">
                      <a:extLst>
                        <a:ext uri="{FF2B5EF4-FFF2-40B4-BE49-F238E27FC236}">
                          <a16:creationId xmlns:a16="http://schemas.microsoft.com/office/drawing/2014/main" id="{00000000-0008-0000-0800-000041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615119F-8672-470D-AE30-0F1041C53ACB}" type="TxLink">
                        <a:rPr lang="en-US" sz="1600" b="1" i="0" u="none" strike="noStrike">
                          <a:solidFill>
                            <a:srgbClr val="FFFF00"/>
                          </a:solidFill>
                          <a:latin typeface="Century Gothic"/>
                        </a:rPr>
                        <a:pPr algn="ctr"/>
                        <a:t>50,0%</a:t>
                      </a:fld>
                      <a:endParaRPr lang="es-CO" sz="5400">
                        <a:solidFill>
                          <a:srgbClr val="FFFF00"/>
                        </a:solidFill>
                      </a:endParaRPr>
                    </a:p>
                  </xdr:txBody>
                </xdr:sp>
              </xdr:grpSp>
              <xdr:grpSp>
                <xdr:nvGrpSpPr>
                  <xdr:cNvPr id="59" name="Grupo 58">
                    <a:extLst>
                      <a:ext uri="{FF2B5EF4-FFF2-40B4-BE49-F238E27FC236}">
                        <a16:creationId xmlns:a16="http://schemas.microsoft.com/office/drawing/2014/main" id="{00000000-0008-0000-0800-00003B000000}"/>
                      </a:ext>
                    </a:extLst>
                  </xdr:cNvPr>
                  <xdr:cNvGrpSpPr/>
                </xdr:nvGrpSpPr>
                <xdr:grpSpPr>
                  <a:xfrm>
                    <a:off x="10245421" y="15482258"/>
                    <a:ext cx="770852" cy="278917"/>
                    <a:chOff x="10245421" y="15482258"/>
                    <a:chExt cx="770852" cy="278917"/>
                  </a:xfrm>
                </xdr:grpSpPr>
                <xdr:sp macro="" textlink="$K$24">
                  <xdr:nvSpPr>
                    <xdr:cNvPr id="60" name="Rectángulo 59">
                      <a:extLst>
                        <a:ext uri="{FF2B5EF4-FFF2-40B4-BE49-F238E27FC236}">
                          <a16:creationId xmlns:a16="http://schemas.microsoft.com/office/drawing/2014/main" id="{00000000-0008-0000-0800-00003C000000}"/>
                        </a:ext>
                      </a:extLst>
                    </xdr:cNvPr>
                    <xdr:cNvSpPr/>
                  </xdr:nvSpPr>
                  <xdr:spPr>
                    <a:xfrm>
                      <a:off x="10284280" y="15489032"/>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FF1D27E-B8FD-4BC4-B67A-20685F3032C3}"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24">
                  <xdr:nvSpPr>
                    <xdr:cNvPr id="61" name="Rectángulo 60">
                      <a:extLst>
                        <a:ext uri="{FF2B5EF4-FFF2-40B4-BE49-F238E27FC236}">
                          <a16:creationId xmlns:a16="http://schemas.microsoft.com/office/drawing/2014/main" id="{00000000-0008-0000-0800-00003D000000}"/>
                        </a:ext>
                      </a:extLst>
                    </xdr:cNvPr>
                    <xdr:cNvSpPr/>
                  </xdr:nvSpPr>
                  <xdr:spPr>
                    <a:xfrm>
                      <a:off x="10560375" y="15489032"/>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15929E-6A33-4A50-9A72-E8AD16FDF034}"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
                  <xdr:nvSpPr>
                    <xdr:cNvPr id="62" name="CuadroTexto 61">
                      <a:extLst>
                        <a:ext uri="{FF2B5EF4-FFF2-40B4-BE49-F238E27FC236}">
                          <a16:creationId xmlns:a16="http://schemas.microsoft.com/office/drawing/2014/main" id="{00000000-0008-0000-0800-00003E000000}"/>
                        </a:ext>
                      </a:extLst>
                    </xdr:cNvPr>
                    <xdr:cNvSpPr txBox="1"/>
                  </xdr:nvSpPr>
                  <xdr:spPr>
                    <a:xfrm>
                      <a:off x="10245421" y="1548225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1" name="Grupo 30">
                  <a:extLst>
                    <a:ext uri="{FF2B5EF4-FFF2-40B4-BE49-F238E27FC236}">
                      <a16:creationId xmlns:a16="http://schemas.microsoft.com/office/drawing/2014/main" id="{00000000-0008-0000-0800-00001F000000}"/>
                    </a:ext>
                  </a:extLst>
                </xdr:cNvPr>
                <xdr:cNvGrpSpPr/>
              </xdr:nvGrpSpPr>
              <xdr:grpSpPr>
                <a:xfrm>
                  <a:off x="3199901" y="15781544"/>
                  <a:ext cx="2160000" cy="730739"/>
                  <a:chOff x="3199901" y="15781544"/>
                  <a:chExt cx="2160000" cy="730739"/>
                </a:xfrm>
              </xdr:grpSpPr>
              <xdr:grpSp>
                <xdr:nvGrpSpPr>
                  <xdr:cNvPr id="50" name="Grupo 49">
                    <a:extLst>
                      <a:ext uri="{FF2B5EF4-FFF2-40B4-BE49-F238E27FC236}">
                        <a16:creationId xmlns:a16="http://schemas.microsoft.com/office/drawing/2014/main" id="{00000000-0008-0000-0800-000032000000}"/>
                      </a:ext>
                    </a:extLst>
                  </xdr:cNvPr>
                  <xdr:cNvGrpSpPr/>
                </xdr:nvGrpSpPr>
                <xdr:grpSpPr>
                  <a:xfrm>
                    <a:off x="3199901" y="15781544"/>
                    <a:ext cx="2160000" cy="726638"/>
                    <a:chOff x="28343182" y="12458683"/>
                    <a:chExt cx="2160000" cy="726638"/>
                  </a:xfrm>
                </xdr:grpSpPr>
                <xdr:sp macro="" textlink="">
                  <xdr:nvSpPr>
                    <xdr:cNvPr id="55" name="Cheurón 54">
                      <a:extLst>
                        <a:ext uri="{FF2B5EF4-FFF2-40B4-BE49-F238E27FC236}">
                          <a16:creationId xmlns:a16="http://schemas.microsoft.com/office/drawing/2014/main" id="{00000000-0008-0000-0800-000037000000}"/>
                        </a:ext>
                      </a:extLst>
                    </xdr:cNvPr>
                    <xdr:cNvSpPr/>
                  </xdr:nvSpPr>
                  <xdr:spPr>
                    <a:xfrm>
                      <a:off x="28343182"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6" name="CuadroTexto 55">
                      <a:extLst>
                        <a:ext uri="{FF2B5EF4-FFF2-40B4-BE49-F238E27FC236}">
                          <a16:creationId xmlns:a16="http://schemas.microsoft.com/office/drawing/2014/main" id="{00000000-0008-0000-0800-000038000000}"/>
                        </a:ext>
                      </a:extLst>
                    </xdr:cNvPr>
                    <xdr:cNvSpPr txBox="1"/>
                  </xdr:nvSpPr>
                  <xdr:spPr>
                    <a:xfrm>
                      <a:off x="2839771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S$25">
                  <xdr:nvSpPr>
                    <xdr:cNvPr id="57" name="Rectángulo redondeado 56">
                      <a:extLst>
                        <a:ext uri="{FF2B5EF4-FFF2-40B4-BE49-F238E27FC236}">
                          <a16:creationId xmlns:a16="http://schemas.microsoft.com/office/drawing/2014/main" id="{00000000-0008-0000-0800-000039000000}"/>
                        </a:ext>
                      </a:extLst>
                    </xdr:cNvPr>
                    <xdr:cNvSpPr/>
                  </xdr:nvSpPr>
                  <xdr:spPr>
                    <a:xfrm>
                      <a:off x="29557264"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0C5DDD5-22CC-41A0-BCCA-EBFE14C727F2}" type="TxLink">
                        <a:rPr lang="en-US" sz="1600" b="1" i="0" u="none" strike="noStrike">
                          <a:solidFill>
                            <a:srgbClr val="FFFF00"/>
                          </a:solidFill>
                          <a:latin typeface="Century Gothic"/>
                        </a:rPr>
                        <a:pPr algn="ctr"/>
                        <a:t>0,0%</a:t>
                      </a:fld>
                      <a:endParaRPr lang="es-CO" sz="2800">
                        <a:solidFill>
                          <a:srgbClr val="FFFF00"/>
                        </a:solidFill>
                      </a:endParaRPr>
                    </a:p>
                  </xdr:txBody>
                </xdr:sp>
              </xdr:grpSp>
              <xdr:grpSp>
                <xdr:nvGrpSpPr>
                  <xdr:cNvPr id="51" name="Grupo 50">
                    <a:extLst>
                      <a:ext uri="{FF2B5EF4-FFF2-40B4-BE49-F238E27FC236}">
                        <a16:creationId xmlns:a16="http://schemas.microsoft.com/office/drawing/2014/main" id="{00000000-0008-0000-0800-000033000000}"/>
                      </a:ext>
                    </a:extLst>
                  </xdr:cNvPr>
                  <xdr:cNvGrpSpPr/>
                </xdr:nvGrpSpPr>
                <xdr:grpSpPr>
                  <a:xfrm>
                    <a:off x="4461153" y="16239155"/>
                    <a:ext cx="770852" cy="273128"/>
                    <a:chOff x="4461153" y="16239155"/>
                    <a:chExt cx="770852" cy="273128"/>
                  </a:xfrm>
                </xdr:grpSpPr>
                <xdr:sp macro="" textlink="$K$25">
                  <xdr:nvSpPr>
                    <xdr:cNvPr id="52" name="Rectángulo 51">
                      <a:extLst>
                        <a:ext uri="{FF2B5EF4-FFF2-40B4-BE49-F238E27FC236}">
                          <a16:creationId xmlns:a16="http://schemas.microsoft.com/office/drawing/2014/main" id="{00000000-0008-0000-0800-000034000000}"/>
                        </a:ext>
                      </a:extLst>
                    </xdr:cNvPr>
                    <xdr:cNvSpPr/>
                  </xdr:nvSpPr>
                  <xdr:spPr>
                    <a:xfrm>
                      <a:off x="4476756" y="16240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E0A3BA-DB3E-4FBD-B34B-F4BA4A57DE42}" type="TxLink">
                        <a:rPr lang="en-US" sz="1100" b="1" i="0" u="none" strike="noStrike">
                          <a:solidFill>
                            <a:srgbClr val="FFFF00"/>
                          </a:solidFill>
                          <a:latin typeface="Century Gothic"/>
                        </a:rPr>
                        <a:pPr algn="ctr"/>
                        <a:t>0</a:t>
                      </a:fld>
                      <a:endParaRPr lang="es-CO" sz="4400" b="1">
                        <a:solidFill>
                          <a:srgbClr val="FFFF00"/>
                        </a:solidFill>
                      </a:endParaRPr>
                    </a:p>
                  </xdr:txBody>
                </xdr:sp>
                <xdr:sp macro="" textlink="$J$25">
                  <xdr:nvSpPr>
                    <xdr:cNvPr id="53" name="Rectángulo 52">
                      <a:extLst>
                        <a:ext uri="{FF2B5EF4-FFF2-40B4-BE49-F238E27FC236}">
                          <a16:creationId xmlns:a16="http://schemas.microsoft.com/office/drawing/2014/main" id="{00000000-0008-0000-0800-000035000000}"/>
                        </a:ext>
                      </a:extLst>
                    </xdr:cNvPr>
                    <xdr:cNvSpPr/>
                  </xdr:nvSpPr>
                  <xdr:spPr>
                    <a:xfrm>
                      <a:off x="4752850" y="16240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016435-3756-4AEE-98AD-B19C4987418C}"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
                  <xdr:nvSpPr>
                    <xdr:cNvPr id="54" name="CuadroTexto 53">
                      <a:extLst>
                        <a:ext uri="{FF2B5EF4-FFF2-40B4-BE49-F238E27FC236}">
                          <a16:creationId xmlns:a16="http://schemas.microsoft.com/office/drawing/2014/main" id="{00000000-0008-0000-0800-000036000000}"/>
                        </a:ext>
                      </a:extLst>
                    </xdr:cNvPr>
                    <xdr:cNvSpPr txBox="1"/>
                  </xdr:nvSpPr>
                  <xdr:spPr>
                    <a:xfrm>
                      <a:off x="4461153" y="162391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2" name="Grupo 31">
                  <a:extLst>
                    <a:ext uri="{FF2B5EF4-FFF2-40B4-BE49-F238E27FC236}">
                      <a16:creationId xmlns:a16="http://schemas.microsoft.com/office/drawing/2014/main" id="{00000000-0008-0000-0800-000020000000}"/>
                    </a:ext>
                  </a:extLst>
                </xdr:cNvPr>
                <xdr:cNvGrpSpPr/>
              </xdr:nvGrpSpPr>
              <xdr:grpSpPr>
                <a:xfrm>
                  <a:off x="5157105" y="15784267"/>
                  <a:ext cx="2160000" cy="730739"/>
                  <a:chOff x="5157105" y="15784267"/>
                  <a:chExt cx="2160000" cy="730739"/>
                </a:xfrm>
              </xdr:grpSpPr>
              <xdr:grpSp>
                <xdr:nvGrpSpPr>
                  <xdr:cNvPr id="42" name="Grupo 41">
                    <a:extLst>
                      <a:ext uri="{FF2B5EF4-FFF2-40B4-BE49-F238E27FC236}">
                        <a16:creationId xmlns:a16="http://schemas.microsoft.com/office/drawing/2014/main" id="{00000000-0008-0000-0800-00002A000000}"/>
                      </a:ext>
                    </a:extLst>
                  </xdr:cNvPr>
                  <xdr:cNvGrpSpPr/>
                </xdr:nvGrpSpPr>
                <xdr:grpSpPr>
                  <a:xfrm>
                    <a:off x="5157105" y="15784267"/>
                    <a:ext cx="2160000" cy="726638"/>
                    <a:chOff x="28351843" y="12458683"/>
                    <a:chExt cx="2160000" cy="726638"/>
                  </a:xfrm>
                </xdr:grpSpPr>
                <xdr:sp macro="" textlink="">
                  <xdr:nvSpPr>
                    <xdr:cNvPr id="47" name="Cheurón 46">
                      <a:extLst>
                        <a:ext uri="{FF2B5EF4-FFF2-40B4-BE49-F238E27FC236}">
                          <a16:creationId xmlns:a16="http://schemas.microsoft.com/office/drawing/2014/main" id="{00000000-0008-0000-0800-00002F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8" name="CuadroTexto 47">
                      <a:extLst>
                        <a:ext uri="{FF2B5EF4-FFF2-40B4-BE49-F238E27FC236}">
                          <a16:creationId xmlns:a16="http://schemas.microsoft.com/office/drawing/2014/main" id="{00000000-0008-0000-0800-000030000000}"/>
                        </a:ext>
                      </a:extLst>
                    </xdr:cNvPr>
                    <xdr:cNvSpPr txBox="1"/>
                  </xdr:nvSpPr>
                  <xdr:spPr>
                    <a:xfrm>
                      <a:off x="284304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S$26">
                  <xdr:nvSpPr>
                    <xdr:cNvPr id="49" name="Rectángulo redondeado 48">
                      <a:extLst>
                        <a:ext uri="{FF2B5EF4-FFF2-40B4-BE49-F238E27FC236}">
                          <a16:creationId xmlns:a16="http://schemas.microsoft.com/office/drawing/2014/main" id="{00000000-0008-0000-0800-000031000000}"/>
                        </a:ext>
                      </a:extLst>
                    </xdr:cNvPr>
                    <xdr:cNvSpPr/>
                  </xdr:nvSpPr>
                  <xdr:spPr>
                    <a:xfrm>
                      <a:off x="29570871"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319C44-54A7-4F46-BFBF-67CA14DE6742}" type="TxLink">
                        <a:rPr lang="en-US" sz="1600" b="1" i="0" u="none" strike="noStrike">
                          <a:solidFill>
                            <a:srgbClr val="FFFF00"/>
                          </a:solidFill>
                          <a:latin typeface="Century Gothic"/>
                        </a:rPr>
                        <a:pPr algn="ctr"/>
                        <a:t>100,0%</a:t>
                      </a:fld>
                      <a:endParaRPr lang="es-CO" sz="3600">
                        <a:solidFill>
                          <a:srgbClr val="FFFF00"/>
                        </a:solidFill>
                      </a:endParaRPr>
                    </a:p>
                  </xdr:txBody>
                </xdr:sp>
              </xdr:grpSp>
              <xdr:grpSp>
                <xdr:nvGrpSpPr>
                  <xdr:cNvPr id="43" name="Grupo 42">
                    <a:extLst>
                      <a:ext uri="{FF2B5EF4-FFF2-40B4-BE49-F238E27FC236}">
                        <a16:creationId xmlns:a16="http://schemas.microsoft.com/office/drawing/2014/main" id="{00000000-0008-0000-0800-00002B000000}"/>
                      </a:ext>
                    </a:extLst>
                  </xdr:cNvPr>
                  <xdr:cNvGrpSpPr/>
                </xdr:nvGrpSpPr>
                <xdr:grpSpPr>
                  <a:xfrm>
                    <a:off x="6411921" y="16230653"/>
                    <a:ext cx="770852" cy="284353"/>
                    <a:chOff x="6411921" y="16230653"/>
                    <a:chExt cx="770852" cy="284353"/>
                  </a:xfrm>
                </xdr:grpSpPr>
                <xdr:sp macro="" textlink="$K$26">
                  <xdr:nvSpPr>
                    <xdr:cNvPr id="44" name="Rectángulo 43">
                      <a:extLst>
                        <a:ext uri="{FF2B5EF4-FFF2-40B4-BE49-F238E27FC236}">
                          <a16:creationId xmlns:a16="http://schemas.microsoft.com/office/drawing/2014/main" id="{00000000-0008-0000-0800-00002C000000}"/>
                        </a:ext>
                      </a:extLst>
                    </xdr:cNvPr>
                    <xdr:cNvSpPr/>
                  </xdr:nvSpPr>
                  <xdr:spPr>
                    <a:xfrm>
                      <a:off x="6438904" y="162428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4F7C77-AE27-48DB-8803-62D43C048588}"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26">
                  <xdr:nvSpPr>
                    <xdr:cNvPr id="45" name="Rectángulo 44">
                      <a:extLst>
                        <a:ext uri="{FF2B5EF4-FFF2-40B4-BE49-F238E27FC236}">
                          <a16:creationId xmlns:a16="http://schemas.microsoft.com/office/drawing/2014/main" id="{00000000-0008-0000-0800-00002D000000}"/>
                        </a:ext>
                      </a:extLst>
                    </xdr:cNvPr>
                    <xdr:cNvSpPr/>
                  </xdr:nvSpPr>
                  <xdr:spPr>
                    <a:xfrm>
                      <a:off x="6714998" y="162428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4AEDB1-E2E0-4714-AAB2-679144A5A6BB}"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
                  <xdr:nvSpPr>
                    <xdr:cNvPr id="46" name="CuadroTexto 45">
                      <a:extLst>
                        <a:ext uri="{FF2B5EF4-FFF2-40B4-BE49-F238E27FC236}">
                          <a16:creationId xmlns:a16="http://schemas.microsoft.com/office/drawing/2014/main" id="{00000000-0008-0000-0800-00002E000000}"/>
                        </a:ext>
                      </a:extLst>
                    </xdr:cNvPr>
                    <xdr:cNvSpPr txBox="1"/>
                  </xdr:nvSpPr>
                  <xdr:spPr>
                    <a:xfrm>
                      <a:off x="6411921" y="162306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3" name="Grupo 32">
                  <a:extLst>
                    <a:ext uri="{FF2B5EF4-FFF2-40B4-BE49-F238E27FC236}">
                      <a16:creationId xmlns:a16="http://schemas.microsoft.com/office/drawing/2014/main" id="{00000000-0008-0000-0800-000021000000}"/>
                    </a:ext>
                  </a:extLst>
                </xdr:cNvPr>
                <xdr:cNvGrpSpPr/>
              </xdr:nvGrpSpPr>
              <xdr:grpSpPr>
                <a:xfrm>
                  <a:off x="7119249" y="15786990"/>
                  <a:ext cx="2160000" cy="730739"/>
                  <a:chOff x="7119249" y="15786990"/>
                  <a:chExt cx="2160000" cy="730739"/>
                </a:xfrm>
              </xdr:grpSpPr>
              <xdr:grpSp>
                <xdr:nvGrpSpPr>
                  <xdr:cNvPr id="34" name="Grupo 33">
                    <a:extLst>
                      <a:ext uri="{FF2B5EF4-FFF2-40B4-BE49-F238E27FC236}">
                        <a16:creationId xmlns:a16="http://schemas.microsoft.com/office/drawing/2014/main" id="{00000000-0008-0000-0800-000022000000}"/>
                      </a:ext>
                    </a:extLst>
                  </xdr:cNvPr>
                  <xdr:cNvGrpSpPr/>
                </xdr:nvGrpSpPr>
                <xdr:grpSpPr>
                  <a:xfrm>
                    <a:off x="7119249" y="15786990"/>
                    <a:ext cx="2160000" cy="726638"/>
                    <a:chOff x="28351843" y="12458683"/>
                    <a:chExt cx="2160000" cy="726638"/>
                  </a:xfrm>
                </xdr:grpSpPr>
                <xdr:sp macro="" textlink="">
                  <xdr:nvSpPr>
                    <xdr:cNvPr id="39" name="Cheurón 38">
                      <a:extLst>
                        <a:ext uri="{FF2B5EF4-FFF2-40B4-BE49-F238E27FC236}">
                          <a16:creationId xmlns:a16="http://schemas.microsoft.com/office/drawing/2014/main" id="{00000000-0008-0000-0800-000027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0" name="CuadroTexto 39">
                      <a:extLst>
                        <a:ext uri="{FF2B5EF4-FFF2-40B4-BE49-F238E27FC236}">
                          <a16:creationId xmlns:a16="http://schemas.microsoft.com/office/drawing/2014/main" id="{00000000-0008-0000-0800-000028000000}"/>
                        </a:ext>
                      </a:extLst>
                    </xdr:cNvPr>
                    <xdr:cNvSpPr txBox="1"/>
                  </xdr:nvSpPr>
                  <xdr:spPr>
                    <a:xfrm>
                      <a:off x="28428643"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S$27">
                  <xdr:nvSpPr>
                    <xdr:cNvPr id="41" name="Rectángulo redondeado 40">
                      <a:extLst>
                        <a:ext uri="{FF2B5EF4-FFF2-40B4-BE49-F238E27FC236}">
                          <a16:creationId xmlns:a16="http://schemas.microsoft.com/office/drawing/2014/main" id="{00000000-0008-0000-0800-000029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B438CE-1806-4C4D-A5DD-FACE1A9D095E}" type="TxLink">
                        <a:rPr lang="en-US" sz="1600" b="1" i="0" u="none" strike="noStrike">
                          <a:solidFill>
                            <a:srgbClr val="FFFF00"/>
                          </a:solidFill>
                          <a:latin typeface="Century Gothic"/>
                        </a:rPr>
                        <a:pPr algn="ctr"/>
                        <a:t>-</a:t>
                      </a:fld>
                      <a:endParaRPr lang="es-CO" sz="4400">
                        <a:solidFill>
                          <a:srgbClr val="FFFF00"/>
                        </a:solidFill>
                      </a:endParaRPr>
                    </a:p>
                  </xdr:txBody>
                </xdr:sp>
              </xdr:grpSp>
              <xdr:grpSp>
                <xdr:nvGrpSpPr>
                  <xdr:cNvPr id="35" name="Grupo 34">
                    <a:extLst>
                      <a:ext uri="{FF2B5EF4-FFF2-40B4-BE49-F238E27FC236}">
                        <a16:creationId xmlns:a16="http://schemas.microsoft.com/office/drawing/2014/main" id="{00000000-0008-0000-0800-000023000000}"/>
                      </a:ext>
                    </a:extLst>
                  </xdr:cNvPr>
                  <xdr:cNvGrpSpPr/>
                </xdr:nvGrpSpPr>
                <xdr:grpSpPr>
                  <a:xfrm>
                    <a:off x="8389904" y="16239154"/>
                    <a:ext cx="770852" cy="278575"/>
                    <a:chOff x="8457939" y="16239154"/>
                    <a:chExt cx="770852" cy="278575"/>
                  </a:xfrm>
                </xdr:grpSpPr>
                <xdr:sp macro="" textlink="$K$27">
                  <xdr:nvSpPr>
                    <xdr:cNvPr id="36" name="Rectángulo 35">
                      <a:extLst>
                        <a:ext uri="{FF2B5EF4-FFF2-40B4-BE49-F238E27FC236}">
                          <a16:creationId xmlns:a16="http://schemas.microsoft.com/office/drawing/2014/main" id="{00000000-0008-0000-0800-000024000000}"/>
                        </a:ext>
                      </a:extLst>
                    </xdr:cNvPr>
                    <xdr:cNvSpPr/>
                  </xdr:nvSpPr>
                  <xdr:spPr>
                    <a:xfrm>
                      <a:off x="8482695" y="1624558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92D6DE-30DB-4FCA-B331-013BAE61C8D3}" type="TxLink">
                        <a:rPr lang="en-US" sz="1100" b="1" i="0" u="none" strike="noStrike">
                          <a:solidFill>
                            <a:srgbClr val="FFFF00"/>
                          </a:solidFill>
                          <a:latin typeface="Century Gothic"/>
                        </a:rPr>
                        <a:pPr algn="ctr"/>
                        <a:t>-</a:t>
                      </a:fld>
                      <a:endParaRPr lang="es-CO" sz="4400" b="1">
                        <a:solidFill>
                          <a:srgbClr val="FFFF00"/>
                        </a:solidFill>
                      </a:endParaRPr>
                    </a:p>
                  </xdr:txBody>
                </xdr:sp>
                <xdr:sp macro="" textlink="$J$27">
                  <xdr:nvSpPr>
                    <xdr:cNvPr id="37" name="Rectángulo 36">
                      <a:extLst>
                        <a:ext uri="{FF2B5EF4-FFF2-40B4-BE49-F238E27FC236}">
                          <a16:creationId xmlns:a16="http://schemas.microsoft.com/office/drawing/2014/main" id="{00000000-0008-0000-0800-000025000000}"/>
                        </a:ext>
                      </a:extLst>
                    </xdr:cNvPr>
                    <xdr:cNvSpPr/>
                  </xdr:nvSpPr>
                  <xdr:spPr>
                    <a:xfrm>
                      <a:off x="8758790" y="1624558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9433F7E-8FEF-4F4E-B759-A03E967583E2}" type="TxLink">
                        <a:rPr lang="en-US" sz="1100" b="1" i="0" u="none" strike="noStrike">
                          <a:solidFill>
                            <a:srgbClr val="FFFF00"/>
                          </a:solidFill>
                          <a:latin typeface="Century Gothic"/>
                        </a:rPr>
                        <a:pPr algn="ctr"/>
                        <a:t>0</a:t>
                      </a:fld>
                      <a:endParaRPr lang="es-CO" sz="4400" b="1">
                        <a:solidFill>
                          <a:srgbClr val="FFFF00"/>
                        </a:solidFill>
                      </a:endParaRPr>
                    </a:p>
                  </xdr:txBody>
                </xdr:sp>
                <xdr:sp macro="" textlink="">
                  <xdr:nvSpPr>
                    <xdr:cNvPr id="38" name="CuadroTexto 37">
                      <a:extLst>
                        <a:ext uri="{FF2B5EF4-FFF2-40B4-BE49-F238E27FC236}">
                          <a16:creationId xmlns:a16="http://schemas.microsoft.com/office/drawing/2014/main" id="{00000000-0008-0000-0800-000026000000}"/>
                        </a:ext>
                      </a:extLst>
                    </xdr:cNvPr>
                    <xdr:cNvSpPr txBox="1"/>
                  </xdr:nvSpPr>
                  <xdr:spPr>
                    <a:xfrm>
                      <a:off x="8457939" y="162391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10" name="Grupo 9">
                <a:extLst>
                  <a:ext uri="{FF2B5EF4-FFF2-40B4-BE49-F238E27FC236}">
                    <a16:creationId xmlns:a16="http://schemas.microsoft.com/office/drawing/2014/main" id="{00000000-0008-0000-0800-00000A000000}"/>
                  </a:ext>
                </a:extLst>
              </xdr:cNvPr>
              <xdr:cNvGrpSpPr/>
            </xdr:nvGrpSpPr>
            <xdr:grpSpPr>
              <a:xfrm>
                <a:off x="376735" y="16757552"/>
                <a:ext cx="6959058" cy="1639730"/>
                <a:chOff x="376735" y="16757552"/>
                <a:chExt cx="6959058" cy="1639730"/>
              </a:xfrm>
            </xdr:grpSpPr>
            <xdr:grpSp>
              <xdr:nvGrpSpPr>
                <xdr:cNvPr id="11" name="Grupo 10">
                  <a:extLst>
                    <a:ext uri="{FF2B5EF4-FFF2-40B4-BE49-F238E27FC236}">
                      <a16:creationId xmlns:a16="http://schemas.microsoft.com/office/drawing/2014/main" id="{00000000-0008-0000-0800-00000B000000}"/>
                    </a:ext>
                  </a:extLst>
                </xdr:cNvPr>
                <xdr:cNvGrpSpPr/>
              </xdr:nvGrpSpPr>
              <xdr:grpSpPr>
                <a:xfrm>
                  <a:off x="376735" y="16757552"/>
                  <a:ext cx="719839" cy="1639730"/>
                  <a:chOff x="27391177" y="8406495"/>
                  <a:chExt cx="720001" cy="1610348"/>
                </a:xfrm>
              </xdr:grpSpPr>
              <xdr:sp macro="" textlink="">
                <xdr:nvSpPr>
                  <xdr:cNvPr id="22" name="Rectángulo 21">
                    <a:extLst>
                      <a:ext uri="{FF2B5EF4-FFF2-40B4-BE49-F238E27FC236}">
                        <a16:creationId xmlns:a16="http://schemas.microsoft.com/office/drawing/2014/main" id="{00000000-0008-0000-0800-000016000000}"/>
                      </a:ext>
                    </a:extLst>
                  </xdr:cNvPr>
                  <xdr:cNvSpPr/>
                </xdr:nvSpPr>
                <xdr:spPr>
                  <a:xfrm>
                    <a:off x="27391177" y="8504462"/>
                    <a:ext cx="720001"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3" name="CuadroTexto 22">
                    <a:extLst>
                      <a:ext uri="{FF2B5EF4-FFF2-40B4-BE49-F238E27FC236}">
                        <a16:creationId xmlns:a16="http://schemas.microsoft.com/office/drawing/2014/main" id="{00000000-0008-0000-0800-000017000000}"/>
                      </a:ext>
                    </a:extLst>
                  </xdr:cNvPr>
                  <xdr:cNvSpPr txBox="1"/>
                </xdr:nvSpPr>
                <xdr:spPr>
                  <a:xfrm rot="16200000">
                    <a:off x="26944306"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12" name="Flecha abajo 11">
                  <a:extLst>
                    <a:ext uri="{FF2B5EF4-FFF2-40B4-BE49-F238E27FC236}">
                      <a16:creationId xmlns:a16="http://schemas.microsoft.com/office/drawing/2014/main" id="{00000000-0008-0000-0800-00000C000000}"/>
                    </a:ext>
                  </a:extLst>
                </xdr:cNvPr>
                <xdr:cNvSpPr/>
              </xdr:nvSpPr>
              <xdr:spPr>
                <a:xfrm rot="10800000">
                  <a:off x="5788509" y="16877184"/>
                  <a:ext cx="467895" cy="293255"/>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3" name="Grupo 12">
                  <a:extLst>
                    <a:ext uri="{FF2B5EF4-FFF2-40B4-BE49-F238E27FC236}">
                      <a16:creationId xmlns:a16="http://schemas.microsoft.com/office/drawing/2014/main" id="{00000000-0008-0000-0800-00000D000000}"/>
                    </a:ext>
                  </a:extLst>
                </xdr:cNvPr>
                <xdr:cNvGrpSpPr/>
              </xdr:nvGrpSpPr>
              <xdr:grpSpPr>
                <a:xfrm>
                  <a:off x="5176276" y="17297903"/>
                  <a:ext cx="2159517" cy="733137"/>
                  <a:chOff x="5176151" y="17068783"/>
                  <a:chExt cx="2160000" cy="720000"/>
                </a:xfrm>
              </xdr:grpSpPr>
              <xdr:grpSp>
                <xdr:nvGrpSpPr>
                  <xdr:cNvPr id="14" name="Grupo 13">
                    <a:extLst>
                      <a:ext uri="{FF2B5EF4-FFF2-40B4-BE49-F238E27FC236}">
                        <a16:creationId xmlns:a16="http://schemas.microsoft.com/office/drawing/2014/main" id="{00000000-0008-0000-0800-00000E000000}"/>
                      </a:ext>
                    </a:extLst>
                  </xdr:cNvPr>
                  <xdr:cNvGrpSpPr/>
                </xdr:nvGrpSpPr>
                <xdr:grpSpPr>
                  <a:xfrm>
                    <a:off x="5176151" y="17068783"/>
                    <a:ext cx="2160000" cy="720000"/>
                    <a:chOff x="28351843" y="12458683"/>
                    <a:chExt cx="2160000" cy="720000"/>
                  </a:xfrm>
                </xdr:grpSpPr>
                <xdr:sp macro="" textlink="">
                  <xdr:nvSpPr>
                    <xdr:cNvPr id="19" name="Cheurón 18">
                      <a:extLst>
                        <a:ext uri="{FF2B5EF4-FFF2-40B4-BE49-F238E27FC236}">
                          <a16:creationId xmlns:a16="http://schemas.microsoft.com/office/drawing/2014/main" id="{00000000-0008-0000-0800-00001300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 name="CuadroTexto 19">
                      <a:extLst>
                        <a:ext uri="{FF2B5EF4-FFF2-40B4-BE49-F238E27FC236}">
                          <a16:creationId xmlns:a16="http://schemas.microsoft.com/office/drawing/2014/main" id="{00000000-0008-0000-0800-000014000000}"/>
                        </a:ext>
                      </a:extLst>
                    </xdr:cNvPr>
                    <xdr:cNvSpPr txBox="1"/>
                  </xdr:nvSpPr>
                  <xdr:spPr>
                    <a:xfrm>
                      <a:off x="28483071" y="12464143"/>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S$28">
                  <xdr:nvSpPr>
                    <xdr:cNvPr id="21" name="Rectángulo redondeado 20">
                      <a:extLst>
                        <a:ext uri="{FF2B5EF4-FFF2-40B4-BE49-F238E27FC236}">
                          <a16:creationId xmlns:a16="http://schemas.microsoft.com/office/drawing/2014/main" id="{00000000-0008-0000-0800-000015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919415C-C649-4334-9208-BA429D4406BD}" type="TxLink">
                        <a:rPr lang="en-US" sz="1600" b="1" i="0" u="none" strike="noStrike">
                          <a:solidFill>
                            <a:schemeClr val="tx1">
                              <a:lumMod val="95000"/>
                              <a:lumOff val="5000"/>
                            </a:schemeClr>
                          </a:solidFill>
                          <a:latin typeface="Century Gothic"/>
                        </a:rPr>
                        <a:pPr algn="ctr"/>
                        <a:t>-</a:t>
                      </a:fld>
                      <a:endParaRPr lang="es-CO" sz="5400">
                        <a:solidFill>
                          <a:schemeClr val="tx1">
                            <a:lumMod val="95000"/>
                            <a:lumOff val="5000"/>
                          </a:schemeClr>
                        </a:solidFill>
                      </a:endParaRPr>
                    </a:p>
                  </xdr:txBody>
                </xdr:sp>
              </xdr:grpSp>
              <xdr:grpSp>
                <xdr:nvGrpSpPr>
                  <xdr:cNvPr id="15" name="Grupo 14">
                    <a:extLst>
                      <a:ext uri="{FF2B5EF4-FFF2-40B4-BE49-F238E27FC236}">
                        <a16:creationId xmlns:a16="http://schemas.microsoft.com/office/drawing/2014/main" id="{00000000-0008-0000-0800-00000F000000}"/>
                      </a:ext>
                    </a:extLst>
                  </xdr:cNvPr>
                  <xdr:cNvGrpSpPr/>
                </xdr:nvGrpSpPr>
                <xdr:grpSpPr>
                  <a:xfrm>
                    <a:off x="6439138" y="17482509"/>
                    <a:ext cx="770852" cy="276193"/>
                    <a:chOff x="6439138" y="17482509"/>
                    <a:chExt cx="770852" cy="276193"/>
                  </a:xfrm>
                </xdr:grpSpPr>
                <xdr:sp macro="" textlink="$K$28">
                  <xdr:nvSpPr>
                    <xdr:cNvPr id="16" name="Rectángulo 15">
                      <a:extLst>
                        <a:ext uri="{FF2B5EF4-FFF2-40B4-BE49-F238E27FC236}">
                          <a16:creationId xmlns:a16="http://schemas.microsoft.com/office/drawing/2014/main" id="{00000000-0008-0000-0800-000010000000}"/>
                        </a:ext>
                      </a:extLst>
                    </xdr:cNvPr>
                    <xdr:cNvSpPr/>
                  </xdr:nvSpPr>
                  <xdr:spPr>
                    <a:xfrm>
                      <a:off x="6457957" y="1748655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590A664-5B50-42CD-8CC9-9E947BC8336C}" type="TxLink">
                        <a:rPr lang="en-US" sz="1100" b="1" i="0" u="none" strike="noStrike">
                          <a:solidFill>
                            <a:schemeClr val="tx1">
                              <a:lumMod val="95000"/>
                              <a:lumOff val="5000"/>
                            </a:schemeClr>
                          </a:solidFill>
                          <a:latin typeface="Century Gothic"/>
                        </a:rPr>
                        <a:pPr algn="ctr"/>
                        <a:t>-</a:t>
                      </a:fld>
                      <a:endParaRPr lang="es-CO" sz="4400" b="1">
                        <a:solidFill>
                          <a:schemeClr val="tx1">
                            <a:lumMod val="95000"/>
                            <a:lumOff val="5000"/>
                          </a:schemeClr>
                        </a:solidFill>
                      </a:endParaRPr>
                    </a:p>
                  </xdr:txBody>
                </xdr:sp>
                <xdr:sp macro="" textlink="$J$28">
                  <xdr:nvSpPr>
                    <xdr:cNvPr id="17" name="Rectángulo 16">
                      <a:extLst>
                        <a:ext uri="{FF2B5EF4-FFF2-40B4-BE49-F238E27FC236}">
                          <a16:creationId xmlns:a16="http://schemas.microsoft.com/office/drawing/2014/main" id="{00000000-0008-0000-0800-000011000000}"/>
                        </a:ext>
                      </a:extLst>
                    </xdr:cNvPr>
                    <xdr:cNvSpPr/>
                  </xdr:nvSpPr>
                  <xdr:spPr>
                    <a:xfrm>
                      <a:off x="6734051" y="1748655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4C6EB7-4A0A-4928-8BB8-ADB5DD5EC4CD}" type="TxLink">
                        <a:rPr lang="en-US" sz="1100" b="1" i="0" u="none" strike="noStrike">
                          <a:solidFill>
                            <a:schemeClr val="tx1">
                              <a:lumMod val="95000"/>
                              <a:lumOff val="5000"/>
                            </a:schemeClr>
                          </a:solidFill>
                          <a:latin typeface="Century Gothic"/>
                        </a:rPr>
                        <a:pPr algn="ctr"/>
                        <a:t>0</a:t>
                      </a:fld>
                      <a:endParaRPr lang="es-CO" sz="4400" b="1">
                        <a:solidFill>
                          <a:schemeClr val="tx1">
                            <a:lumMod val="95000"/>
                            <a:lumOff val="5000"/>
                          </a:schemeClr>
                        </a:solidFill>
                      </a:endParaRPr>
                    </a:p>
                  </xdr:txBody>
                </xdr:sp>
                <xdr:sp macro="" textlink="">
                  <xdr:nvSpPr>
                    <xdr:cNvPr id="18" name="CuadroTexto 17">
                      <a:extLst>
                        <a:ext uri="{FF2B5EF4-FFF2-40B4-BE49-F238E27FC236}">
                          <a16:creationId xmlns:a16="http://schemas.microsoft.com/office/drawing/2014/main" id="{00000000-0008-0000-0800-000012000000}"/>
                        </a:ext>
                      </a:extLst>
                    </xdr:cNvPr>
                    <xdr:cNvSpPr txBox="1"/>
                  </xdr:nvSpPr>
                  <xdr:spPr>
                    <a:xfrm>
                      <a:off x="6439138" y="1748250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chemeClr val="tx1">
                              <a:lumMod val="95000"/>
                              <a:lumOff val="5000"/>
                            </a:schemeClr>
                          </a:solidFill>
                          <a:latin typeface="Century Gothic" panose="020B0502020202020204" pitchFamily="34" charset="0"/>
                        </a:rPr>
                        <a:t>(</a:t>
                      </a:r>
                      <a:r>
                        <a:rPr lang="es-CO" sz="1100" baseline="0">
                          <a:solidFill>
                            <a:schemeClr val="tx1">
                              <a:lumMod val="95000"/>
                              <a:lumOff val="5000"/>
                            </a:schemeClr>
                          </a:solidFill>
                          <a:latin typeface="Century Gothic" panose="020B0502020202020204" pitchFamily="34" charset="0"/>
                        </a:rPr>
                        <a:t>     /     </a:t>
                      </a:r>
                      <a:r>
                        <a:rPr lang="es-CO" sz="1100">
                          <a:solidFill>
                            <a:schemeClr val="tx1">
                              <a:lumMod val="95000"/>
                              <a:lumOff val="5000"/>
                            </a:schemeClr>
                          </a:solidFill>
                          <a:latin typeface="Century Gothic" panose="020B0502020202020204" pitchFamily="34" charset="0"/>
                        </a:rPr>
                        <a:t>)</a:t>
                      </a:r>
                    </a:p>
                  </xdr:txBody>
                </xdr:sp>
              </xdr:grpSp>
            </xdr:grpSp>
          </xdr:grpSp>
        </xdr:grpSp>
      </xdr:grpSp>
    </xdr:grpSp>
    <xdr:clientData/>
  </xdr:twoCellAnchor>
  <xdr:twoCellAnchor>
    <xdr:from>
      <xdr:col>20</xdr:col>
      <xdr:colOff>606844</xdr:colOff>
      <xdr:row>33</xdr:row>
      <xdr:rowOff>137297</xdr:rowOff>
    </xdr:from>
    <xdr:to>
      <xdr:col>32</xdr:col>
      <xdr:colOff>448944</xdr:colOff>
      <xdr:row>71</xdr:row>
      <xdr:rowOff>53198</xdr:rowOff>
    </xdr:to>
    <xdr:grpSp>
      <xdr:nvGrpSpPr>
        <xdr:cNvPr id="240" name="Grupo 239">
          <a:extLst>
            <a:ext uri="{FF2B5EF4-FFF2-40B4-BE49-F238E27FC236}">
              <a16:creationId xmlns:a16="http://schemas.microsoft.com/office/drawing/2014/main" id="{00000000-0008-0000-0800-0000F0000000}"/>
            </a:ext>
          </a:extLst>
        </xdr:cNvPr>
        <xdr:cNvGrpSpPr/>
      </xdr:nvGrpSpPr>
      <xdr:grpSpPr>
        <a:xfrm>
          <a:off x="22718451" y="9594261"/>
          <a:ext cx="10986350" cy="7671973"/>
          <a:chOff x="11922544" y="9446079"/>
          <a:chExt cx="11005400" cy="7878801"/>
        </a:xfrm>
      </xdr:grpSpPr>
      <xdr:grpSp>
        <xdr:nvGrpSpPr>
          <xdr:cNvPr id="241" name="Grupo 240">
            <a:extLst>
              <a:ext uri="{FF2B5EF4-FFF2-40B4-BE49-F238E27FC236}">
                <a16:creationId xmlns:a16="http://schemas.microsoft.com/office/drawing/2014/main" id="{00000000-0008-0000-0800-0000F1000000}"/>
              </a:ext>
            </a:extLst>
          </xdr:cNvPr>
          <xdr:cNvGrpSpPr/>
        </xdr:nvGrpSpPr>
        <xdr:grpSpPr>
          <a:xfrm>
            <a:off x="11931653" y="9446079"/>
            <a:ext cx="10943885" cy="849831"/>
            <a:chOff x="11896943" y="10589079"/>
            <a:chExt cx="10912926" cy="842845"/>
          </a:xfrm>
        </xdr:grpSpPr>
        <xdr:sp macro="" textlink="">
          <xdr:nvSpPr>
            <xdr:cNvPr id="471" name="Rectángulo 470">
              <a:extLst>
                <a:ext uri="{FF2B5EF4-FFF2-40B4-BE49-F238E27FC236}">
                  <a16:creationId xmlns:a16="http://schemas.microsoft.com/office/drawing/2014/main" id="{00000000-0008-0000-0800-0000D7010000}"/>
                </a:ext>
              </a:extLst>
            </xdr:cNvPr>
            <xdr:cNvSpPr/>
          </xdr:nvSpPr>
          <xdr:spPr>
            <a:xfrm>
              <a:off x="11896943" y="10589079"/>
              <a:ext cx="9961033" cy="842845"/>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latin typeface="Century Gothic" panose="020B0502020202020204" pitchFamily="34" charset="0"/>
                </a:rPr>
                <a:t>PROPORCION DE OPORTUNIDADES DE MEJORA CERRADAS DE LAS AUDITORÍAS CON ENFOQUE DE RIESGOS, ESE METROSALUD, 2019 - 2023</a:t>
              </a:r>
            </a:p>
          </xdr:txBody>
        </xdr:sp>
        <xdr:grpSp>
          <xdr:nvGrpSpPr>
            <xdr:cNvPr id="472" name="Grupo 471">
              <a:extLst>
                <a:ext uri="{FF2B5EF4-FFF2-40B4-BE49-F238E27FC236}">
                  <a16:creationId xmlns:a16="http://schemas.microsoft.com/office/drawing/2014/main" id="{00000000-0008-0000-0800-0000D8010000}"/>
                </a:ext>
              </a:extLst>
            </xdr:cNvPr>
            <xdr:cNvGrpSpPr/>
          </xdr:nvGrpSpPr>
          <xdr:grpSpPr>
            <a:xfrm>
              <a:off x="21896706" y="10589079"/>
              <a:ext cx="913163" cy="842845"/>
              <a:chOff x="21896706" y="10589079"/>
              <a:chExt cx="913163" cy="842845"/>
            </a:xfrm>
          </xdr:grpSpPr>
          <xdr:sp macro="" textlink="$W$32">
            <xdr:nvSpPr>
              <xdr:cNvPr id="473" name="Rectángulo 472">
                <a:extLst>
                  <a:ext uri="{FF2B5EF4-FFF2-40B4-BE49-F238E27FC236}">
                    <a16:creationId xmlns:a16="http://schemas.microsoft.com/office/drawing/2014/main" id="{00000000-0008-0000-0800-0000D9010000}"/>
                  </a:ext>
                </a:extLst>
              </xdr:cNvPr>
              <xdr:cNvSpPr/>
            </xdr:nvSpPr>
            <xdr:spPr>
              <a:xfrm>
                <a:off x="21896706"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BDB602-5289-402C-ADEE-C9F1A500DA2A}" type="TxLink">
                  <a:rPr lang="en-US" sz="1800" b="1" i="0" u="none" strike="noStrike">
                    <a:solidFill>
                      <a:srgbClr val="000000"/>
                    </a:solidFill>
                    <a:latin typeface="Century Gothic"/>
                  </a:rPr>
                  <a:pPr algn="ctr"/>
                  <a:t>10,3%</a:t>
                </a:fld>
                <a:endParaRPr lang="es-CO" sz="7200">
                  <a:solidFill>
                    <a:schemeClr val="tx1">
                      <a:lumMod val="95000"/>
                      <a:lumOff val="5000"/>
                    </a:schemeClr>
                  </a:solidFill>
                </a:endParaRPr>
              </a:p>
            </xdr:txBody>
          </xdr:sp>
          <xdr:grpSp>
            <xdr:nvGrpSpPr>
              <xdr:cNvPr id="474" name="Grupo 473">
                <a:extLst>
                  <a:ext uri="{FF2B5EF4-FFF2-40B4-BE49-F238E27FC236}">
                    <a16:creationId xmlns:a16="http://schemas.microsoft.com/office/drawing/2014/main" id="{00000000-0008-0000-0800-0000DA010000}"/>
                  </a:ext>
                </a:extLst>
              </xdr:cNvPr>
              <xdr:cNvGrpSpPr/>
            </xdr:nvGrpSpPr>
            <xdr:grpSpPr>
              <a:xfrm>
                <a:off x="21897657" y="11129222"/>
                <a:ext cx="898782" cy="285385"/>
                <a:chOff x="21897657" y="11129222"/>
                <a:chExt cx="898782" cy="285385"/>
              </a:xfrm>
            </xdr:grpSpPr>
            <xdr:sp macro="" textlink="$R$32">
              <xdr:nvSpPr>
                <xdr:cNvPr id="475" name="Rectángulo 474">
                  <a:extLst>
                    <a:ext uri="{FF2B5EF4-FFF2-40B4-BE49-F238E27FC236}">
                      <a16:creationId xmlns:a16="http://schemas.microsoft.com/office/drawing/2014/main" id="{00000000-0008-0000-0800-0000DB01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73493F-3060-41AA-89CB-5219DB8E2E44}" type="TxLink">
                    <a:rPr lang="en-US" sz="1100" b="1" i="0" u="none" strike="noStrike">
                      <a:solidFill>
                        <a:srgbClr val="000000"/>
                      </a:solidFill>
                      <a:latin typeface="Century Gothic"/>
                    </a:rPr>
                    <a:pPr algn="ctr"/>
                    <a:t>41</a:t>
                  </a:fld>
                  <a:endParaRPr lang="es-CO" sz="1100">
                    <a:solidFill>
                      <a:schemeClr val="tx1">
                        <a:lumMod val="95000"/>
                        <a:lumOff val="5000"/>
                      </a:schemeClr>
                    </a:solidFill>
                  </a:endParaRPr>
                </a:p>
              </xdr:txBody>
            </xdr:sp>
            <xdr:sp macro="" textlink="">
              <xdr:nvSpPr>
                <xdr:cNvPr id="476" name="CuadroTexto 475">
                  <a:extLst>
                    <a:ext uri="{FF2B5EF4-FFF2-40B4-BE49-F238E27FC236}">
                      <a16:creationId xmlns:a16="http://schemas.microsoft.com/office/drawing/2014/main" id="{00000000-0008-0000-0800-0000DC010000}"/>
                    </a:ext>
                  </a:extLst>
                </xdr:cNvPr>
                <xdr:cNvSpPr txBox="1"/>
              </xdr:nvSpPr>
              <xdr:spPr>
                <a:xfrm>
                  <a:off x="21897657" y="11129222"/>
                  <a:ext cx="898782" cy="269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latin typeface="Century Gothic" panose="020B0502020202020204" pitchFamily="34" charset="0"/>
                    </a:rPr>
                    <a:t>(       /  </a:t>
                  </a:r>
                  <a:r>
                    <a:rPr lang="es-CO" sz="1100" i="0" baseline="0">
                      <a:latin typeface="Century Gothic" panose="020B0502020202020204" pitchFamily="34" charset="0"/>
                    </a:rPr>
                    <a:t>      </a:t>
                  </a:r>
                  <a:r>
                    <a:rPr lang="es-CO" sz="1100" i="0">
                      <a:latin typeface="Century Gothic" panose="020B0502020202020204" pitchFamily="34" charset="0"/>
                    </a:rPr>
                    <a:t>)</a:t>
                  </a:r>
                </a:p>
              </xdr:txBody>
            </xdr:sp>
            <xdr:sp macro="" textlink="$L$32">
              <xdr:nvSpPr>
                <xdr:cNvPr id="477" name="Rectángulo 476">
                  <a:extLst>
                    <a:ext uri="{FF2B5EF4-FFF2-40B4-BE49-F238E27FC236}">
                      <a16:creationId xmlns:a16="http://schemas.microsoft.com/office/drawing/2014/main" id="{00000000-0008-0000-0800-0000DD01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C3F159-7729-4C43-94CB-D1039B7E5B96}" type="TxLink">
                    <a:rPr lang="en-US" sz="1100" b="1" i="0" u="none" strike="noStrike">
                      <a:solidFill>
                        <a:srgbClr val="000000"/>
                      </a:solidFill>
                      <a:latin typeface="Century Gothic"/>
                    </a:rPr>
                    <a:pPr algn="ctr"/>
                    <a:t>399</a:t>
                  </a:fld>
                  <a:endParaRPr lang="es-CO" sz="1100">
                    <a:solidFill>
                      <a:schemeClr val="tx1">
                        <a:lumMod val="95000"/>
                        <a:lumOff val="5000"/>
                      </a:schemeClr>
                    </a:solidFill>
                  </a:endParaRPr>
                </a:p>
              </xdr:txBody>
            </xdr:sp>
          </xdr:grpSp>
        </xdr:grpSp>
      </xdr:grpSp>
      <xdr:grpSp>
        <xdr:nvGrpSpPr>
          <xdr:cNvPr id="242" name="Grupo 241">
            <a:extLst>
              <a:ext uri="{FF2B5EF4-FFF2-40B4-BE49-F238E27FC236}">
                <a16:creationId xmlns:a16="http://schemas.microsoft.com/office/drawing/2014/main" id="{00000000-0008-0000-0800-0000F2000000}"/>
              </a:ext>
            </a:extLst>
          </xdr:cNvPr>
          <xdr:cNvGrpSpPr/>
        </xdr:nvGrpSpPr>
        <xdr:grpSpPr>
          <a:xfrm>
            <a:off x="11922544" y="10411458"/>
            <a:ext cx="11005400" cy="6913422"/>
            <a:chOff x="11922544" y="10411458"/>
            <a:chExt cx="11005400" cy="6913422"/>
          </a:xfrm>
        </xdr:grpSpPr>
        <xdr:sp macro="" textlink="">
          <xdr:nvSpPr>
            <xdr:cNvPr id="243" name="Rectángulo redondeado 242">
              <a:extLst>
                <a:ext uri="{FF2B5EF4-FFF2-40B4-BE49-F238E27FC236}">
                  <a16:creationId xmlns:a16="http://schemas.microsoft.com/office/drawing/2014/main" id="{00000000-0008-0000-0800-0000F3000000}"/>
                </a:ext>
              </a:extLst>
            </xdr:cNvPr>
            <xdr:cNvSpPr/>
          </xdr:nvSpPr>
          <xdr:spPr>
            <a:xfrm>
              <a:off x="11922544" y="10411458"/>
              <a:ext cx="11005400" cy="6913422"/>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44" name="Grupo 243">
              <a:extLst>
                <a:ext uri="{FF2B5EF4-FFF2-40B4-BE49-F238E27FC236}">
                  <a16:creationId xmlns:a16="http://schemas.microsoft.com/office/drawing/2014/main" id="{00000000-0008-0000-0800-0000F4000000}"/>
                </a:ext>
              </a:extLst>
            </xdr:cNvPr>
            <xdr:cNvGrpSpPr/>
          </xdr:nvGrpSpPr>
          <xdr:grpSpPr>
            <a:xfrm>
              <a:off x="12031390" y="10425193"/>
              <a:ext cx="10712849" cy="1653631"/>
              <a:chOff x="11996402" y="11560135"/>
              <a:chExt cx="10682546" cy="1640036"/>
            </a:xfrm>
          </xdr:grpSpPr>
          <xdr:grpSp>
            <xdr:nvGrpSpPr>
              <xdr:cNvPr id="430" name="Grupo 429">
                <a:extLst>
                  <a:ext uri="{FF2B5EF4-FFF2-40B4-BE49-F238E27FC236}">
                    <a16:creationId xmlns:a16="http://schemas.microsoft.com/office/drawing/2014/main" id="{00000000-0008-0000-0800-0000AE010000}"/>
                  </a:ext>
                </a:extLst>
              </xdr:cNvPr>
              <xdr:cNvGrpSpPr/>
            </xdr:nvGrpSpPr>
            <xdr:grpSpPr>
              <a:xfrm>
                <a:off x="11996402" y="11560135"/>
                <a:ext cx="719624" cy="1640036"/>
                <a:chOff x="27415305" y="8324853"/>
                <a:chExt cx="719624" cy="1610348"/>
              </a:xfrm>
            </xdr:grpSpPr>
            <xdr:sp macro="" textlink="">
              <xdr:nvSpPr>
                <xdr:cNvPr id="469" name="Rectángulo 468">
                  <a:extLst>
                    <a:ext uri="{FF2B5EF4-FFF2-40B4-BE49-F238E27FC236}">
                      <a16:creationId xmlns:a16="http://schemas.microsoft.com/office/drawing/2014/main" id="{00000000-0008-0000-0800-0000D5010000}"/>
                    </a:ext>
                  </a:extLst>
                </xdr:cNvPr>
                <xdr:cNvSpPr/>
              </xdr:nvSpPr>
              <xdr:spPr>
                <a:xfrm>
                  <a:off x="27415305" y="8450034"/>
                  <a:ext cx="719624"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70" name="CuadroTexto 469">
                  <a:extLst>
                    <a:ext uri="{FF2B5EF4-FFF2-40B4-BE49-F238E27FC236}">
                      <a16:creationId xmlns:a16="http://schemas.microsoft.com/office/drawing/2014/main" id="{00000000-0008-0000-0800-0000D6010000}"/>
                    </a:ext>
                  </a:extLst>
                </xdr:cNvPr>
                <xdr:cNvSpPr txBox="1"/>
              </xdr:nvSpPr>
              <xdr:spPr>
                <a:xfrm rot="16200000">
                  <a:off x="26948833"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sp macro="" textlink="">
            <xdr:nvSpPr>
              <xdr:cNvPr id="431" name="Flecha abajo 430">
                <a:extLst>
                  <a:ext uri="{FF2B5EF4-FFF2-40B4-BE49-F238E27FC236}">
                    <a16:creationId xmlns:a16="http://schemas.microsoft.com/office/drawing/2014/main" id="{00000000-0008-0000-0800-0000AF010000}"/>
                  </a:ext>
                </a:extLst>
              </xdr:cNvPr>
              <xdr:cNvSpPr/>
            </xdr:nvSpPr>
            <xdr:spPr>
              <a:xfrm>
                <a:off x="17372127" y="12875080"/>
                <a:ext cx="468000" cy="291710"/>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32" name="Grupo 431">
                <a:extLst>
                  <a:ext uri="{FF2B5EF4-FFF2-40B4-BE49-F238E27FC236}">
                    <a16:creationId xmlns:a16="http://schemas.microsoft.com/office/drawing/2014/main" id="{00000000-0008-0000-0800-0000B0010000}"/>
                  </a:ext>
                </a:extLst>
              </xdr:cNvPr>
              <xdr:cNvGrpSpPr/>
            </xdr:nvGrpSpPr>
            <xdr:grpSpPr>
              <a:xfrm>
                <a:off x="12791456" y="12043791"/>
                <a:ext cx="2623086" cy="750638"/>
                <a:chOff x="12791456" y="12043791"/>
                <a:chExt cx="2623086" cy="750638"/>
              </a:xfrm>
            </xdr:grpSpPr>
            <xdr:grpSp>
              <xdr:nvGrpSpPr>
                <xdr:cNvPr id="460" name="Grupo 459">
                  <a:extLst>
                    <a:ext uri="{FF2B5EF4-FFF2-40B4-BE49-F238E27FC236}">
                      <a16:creationId xmlns:a16="http://schemas.microsoft.com/office/drawing/2014/main" id="{00000000-0008-0000-0800-0000CC010000}"/>
                    </a:ext>
                  </a:extLst>
                </xdr:cNvPr>
                <xdr:cNvGrpSpPr/>
              </xdr:nvGrpSpPr>
              <xdr:grpSpPr>
                <a:xfrm>
                  <a:off x="12791456" y="12043791"/>
                  <a:ext cx="2623086" cy="734845"/>
                  <a:chOff x="12791456" y="12043791"/>
                  <a:chExt cx="2623086" cy="734845"/>
                </a:xfrm>
              </xdr:grpSpPr>
              <xdr:grpSp>
                <xdr:nvGrpSpPr>
                  <xdr:cNvPr id="465" name="Grupo 464">
                    <a:extLst>
                      <a:ext uri="{FF2B5EF4-FFF2-40B4-BE49-F238E27FC236}">
                        <a16:creationId xmlns:a16="http://schemas.microsoft.com/office/drawing/2014/main" id="{00000000-0008-0000-0800-0000D1010000}"/>
                      </a:ext>
                    </a:extLst>
                  </xdr:cNvPr>
                  <xdr:cNvGrpSpPr/>
                </xdr:nvGrpSpPr>
                <xdr:grpSpPr>
                  <a:xfrm>
                    <a:off x="12791456" y="12043791"/>
                    <a:ext cx="2623086" cy="734845"/>
                    <a:chOff x="12791456" y="12043791"/>
                    <a:chExt cx="2623086" cy="734845"/>
                  </a:xfrm>
                </xdr:grpSpPr>
                <xdr:sp macro="" textlink="">
                  <xdr:nvSpPr>
                    <xdr:cNvPr id="467" name="Cheurón 466">
                      <a:extLst>
                        <a:ext uri="{FF2B5EF4-FFF2-40B4-BE49-F238E27FC236}">
                          <a16:creationId xmlns:a16="http://schemas.microsoft.com/office/drawing/2014/main" id="{00000000-0008-0000-0800-0000D3010000}"/>
                        </a:ext>
                      </a:extLst>
                    </xdr:cNvPr>
                    <xdr:cNvSpPr/>
                  </xdr:nvSpPr>
                  <xdr:spPr>
                    <a:xfrm>
                      <a:off x="12791456" y="12043791"/>
                      <a:ext cx="2623086" cy="734845"/>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68" name="CuadroTexto 467">
                      <a:extLst>
                        <a:ext uri="{FF2B5EF4-FFF2-40B4-BE49-F238E27FC236}">
                          <a16:creationId xmlns:a16="http://schemas.microsoft.com/office/drawing/2014/main" id="{00000000-0008-0000-0800-0000D4010000}"/>
                        </a:ext>
                      </a:extLst>
                    </xdr:cNvPr>
                    <xdr:cNvSpPr txBox="1"/>
                  </xdr:nvSpPr>
                  <xdr:spPr>
                    <a:xfrm>
                      <a:off x="12990347" y="12201748"/>
                      <a:ext cx="1710407" cy="44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grpSp>
              <xdr:sp macro="" textlink="$W$6">
                <xdr:nvSpPr>
                  <xdr:cNvPr id="466" name="Rectángulo redondeado 465">
                    <a:extLst>
                      <a:ext uri="{FF2B5EF4-FFF2-40B4-BE49-F238E27FC236}">
                        <a16:creationId xmlns:a16="http://schemas.microsoft.com/office/drawing/2014/main" id="{00000000-0008-0000-0800-0000D2010000}"/>
                      </a:ext>
                    </a:extLst>
                  </xdr:cNvPr>
                  <xdr:cNvSpPr/>
                </xdr:nvSpPr>
                <xdr:spPr>
                  <a:xfrm>
                    <a:off x="14462512" y="12157963"/>
                    <a:ext cx="934250" cy="5126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01D60D-B338-4374-B3D9-1553B46C283B}" type="TxLink">
                      <a:rPr lang="en-US" sz="1600" b="1" i="0" u="none" strike="noStrike">
                        <a:solidFill>
                          <a:srgbClr val="FFFF00"/>
                        </a:solidFill>
                        <a:latin typeface="Century Gothic"/>
                      </a:rPr>
                      <a:pPr algn="ctr"/>
                      <a:t>0,0%</a:t>
                    </a:fld>
                    <a:endParaRPr lang="es-CO" sz="2000">
                      <a:solidFill>
                        <a:srgbClr val="FFFF00"/>
                      </a:solidFill>
                    </a:endParaRPr>
                  </a:p>
                </xdr:txBody>
              </xdr:sp>
            </xdr:grpSp>
            <xdr:grpSp>
              <xdr:nvGrpSpPr>
                <xdr:cNvPr id="461" name="Grupo 460">
                  <a:extLst>
                    <a:ext uri="{FF2B5EF4-FFF2-40B4-BE49-F238E27FC236}">
                      <a16:creationId xmlns:a16="http://schemas.microsoft.com/office/drawing/2014/main" id="{00000000-0008-0000-0800-0000CD010000}"/>
                    </a:ext>
                  </a:extLst>
                </xdr:cNvPr>
                <xdr:cNvGrpSpPr/>
              </xdr:nvGrpSpPr>
              <xdr:grpSpPr>
                <a:xfrm>
                  <a:off x="14440611" y="12513585"/>
                  <a:ext cx="828000" cy="280844"/>
                  <a:chOff x="14427220" y="12646387"/>
                  <a:chExt cx="828000" cy="280844"/>
                </a:xfrm>
              </xdr:grpSpPr>
              <xdr:sp macro="" textlink="$R$6">
                <xdr:nvSpPr>
                  <xdr:cNvPr id="462" name="Rectángulo 461">
                    <a:extLst>
                      <a:ext uri="{FF2B5EF4-FFF2-40B4-BE49-F238E27FC236}">
                        <a16:creationId xmlns:a16="http://schemas.microsoft.com/office/drawing/2014/main" id="{00000000-0008-0000-0800-0000CE010000}"/>
                      </a:ext>
                    </a:extLst>
                  </xdr:cNvPr>
                  <xdr:cNvSpPr/>
                </xdr:nvSpPr>
                <xdr:spPr>
                  <a:xfrm>
                    <a:off x="14492534"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EA52D3B-97F3-4073-8825-C8ADAAC75FE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6">
                <xdr:nvSpPr>
                  <xdr:cNvPr id="463" name="Rectángulo 462">
                    <a:extLst>
                      <a:ext uri="{FF2B5EF4-FFF2-40B4-BE49-F238E27FC236}">
                        <a16:creationId xmlns:a16="http://schemas.microsoft.com/office/drawing/2014/main" id="{00000000-0008-0000-0800-0000CF010000}"/>
                      </a:ext>
                    </a:extLst>
                  </xdr:cNvPr>
                  <xdr:cNvSpPr/>
                </xdr:nvSpPr>
                <xdr:spPr>
                  <a:xfrm>
                    <a:off x="14787189"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3D980C5-E4DB-4679-98A6-B072E20886D7}" type="TxLink">
                      <a:rPr lang="en-US" sz="1100" b="1" i="0" u="none" strike="noStrike">
                        <a:solidFill>
                          <a:srgbClr val="FFFF00"/>
                        </a:solidFill>
                        <a:latin typeface="Century Gothic"/>
                      </a:rPr>
                      <a:pPr algn="ctr"/>
                      <a:t>7</a:t>
                    </a:fld>
                    <a:endParaRPr lang="es-CO" sz="1100" b="1">
                      <a:solidFill>
                        <a:srgbClr val="FFFF00"/>
                      </a:solidFill>
                    </a:endParaRPr>
                  </a:p>
                </xdr:txBody>
              </xdr:sp>
              <xdr:sp macro="" textlink="">
                <xdr:nvSpPr>
                  <xdr:cNvPr id="464" name="CuadroTexto 463">
                    <a:extLst>
                      <a:ext uri="{FF2B5EF4-FFF2-40B4-BE49-F238E27FC236}">
                        <a16:creationId xmlns:a16="http://schemas.microsoft.com/office/drawing/2014/main" id="{00000000-0008-0000-0800-0000D0010000}"/>
                      </a:ext>
                    </a:extLst>
                  </xdr:cNvPr>
                  <xdr:cNvSpPr txBox="1"/>
                </xdr:nvSpPr>
                <xdr:spPr>
                  <a:xfrm>
                    <a:off x="14427220" y="12646387"/>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33" name="Grupo 432">
                <a:extLst>
                  <a:ext uri="{FF2B5EF4-FFF2-40B4-BE49-F238E27FC236}">
                    <a16:creationId xmlns:a16="http://schemas.microsoft.com/office/drawing/2014/main" id="{00000000-0008-0000-0800-0000B1010000}"/>
                  </a:ext>
                </a:extLst>
              </xdr:cNvPr>
              <xdr:cNvGrpSpPr/>
            </xdr:nvGrpSpPr>
            <xdr:grpSpPr>
              <a:xfrm>
                <a:off x="15211291" y="12043791"/>
                <a:ext cx="2628002" cy="750638"/>
                <a:chOff x="15211291" y="12043791"/>
                <a:chExt cx="2628002" cy="750638"/>
              </a:xfrm>
            </xdr:grpSpPr>
            <xdr:grpSp>
              <xdr:nvGrpSpPr>
                <xdr:cNvPr id="452" name="Grupo 451">
                  <a:extLst>
                    <a:ext uri="{FF2B5EF4-FFF2-40B4-BE49-F238E27FC236}">
                      <a16:creationId xmlns:a16="http://schemas.microsoft.com/office/drawing/2014/main" id="{00000000-0008-0000-0800-0000C4010000}"/>
                    </a:ext>
                  </a:extLst>
                </xdr:cNvPr>
                <xdr:cNvGrpSpPr/>
              </xdr:nvGrpSpPr>
              <xdr:grpSpPr>
                <a:xfrm>
                  <a:off x="15211291" y="12043791"/>
                  <a:ext cx="2628002" cy="734845"/>
                  <a:chOff x="28594637" y="2081892"/>
                  <a:chExt cx="2433637" cy="585107"/>
                </a:xfrm>
              </xdr:grpSpPr>
              <xdr:sp macro="" textlink="">
                <xdr:nvSpPr>
                  <xdr:cNvPr id="457" name="Cheurón 456">
                    <a:extLst>
                      <a:ext uri="{FF2B5EF4-FFF2-40B4-BE49-F238E27FC236}">
                        <a16:creationId xmlns:a16="http://schemas.microsoft.com/office/drawing/2014/main" id="{00000000-0008-0000-0800-0000C901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58" name="CuadroTexto 457">
                    <a:extLst>
                      <a:ext uri="{FF2B5EF4-FFF2-40B4-BE49-F238E27FC236}">
                        <a16:creationId xmlns:a16="http://schemas.microsoft.com/office/drawing/2014/main" id="{00000000-0008-0000-0800-0000CA010000}"/>
                      </a:ext>
                    </a:extLst>
                  </xdr:cNvPr>
                  <xdr:cNvSpPr txBox="1"/>
                </xdr:nvSpPr>
                <xdr:spPr>
                  <a:xfrm>
                    <a:off x="2881925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W$7">
                <xdr:nvSpPr>
                  <xdr:cNvPr id="459" name="Rectángulo redondeado 458">
                    <a:extLst>
                      <a:ext uri="{FF2B5EF4-FFF2-40B4-BE49-F238E27FC236}">
                        <a16:creationId xmlns:a16="http://schemas.microsoft.com/office/drawing/2014/main" id="{00000000-0008-0000-0800-0000CB010000}"/>
                      </a:ext>
                    </a:extLst>
                  </xdr:cNvPr>
                  <xdr:cNvSpPr/>
                </xdr:nvSpPr>
                <xdr:spPr>
                  <a:xfrm>
                    <a:off x="30140480" y="2172799"/>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F34F973-5D83-4A9A-83AE-0C4B614CCB72}" type="TxLink">
                      <a:rPr lang="en-US" sz="1600" b="1" i="0" u="none" strike="noStrike">
                        <a:solidFill>
                          <a:srgbClr val="FFFF00"/>
                        </a:solidFill>
                        <a:latin typeface="Century Gothic"/>
                      </a:rPr>
                      <a:pPr algn="ctr"/>
                      <a:t>58,3%</a:t>
                    </a:fld>
                    <a:endParaRPr lang="es-CO" sz="2000">
                      <a:solidFill>
                        <a:srgbClr val="FFFF00"/>
                      </a:solidFill>
                    </a:endParaRPr>
                  </a:p>
                </xdr:txBody>
              </xdr:sp>
            </xdr:grpSp>
            <xdr:grpSp>
              <xdr:nvGrpSpPr>
                <xdr:cNvPr id="453" name="Grupo 452">
                  <a:extLst>
                    <a:ext uri="{FF2B5EF4-FFF2-40B4-BE49-F238E27FC236}">
                      <a16:creationId xmlns:a16="http://schemas.microsoft.com/office/drawing/2014/main" id="{00000000-0008-0000-0800-0000C5010000}"/>
                    </a:ext>
                  </a:extLst>
                </xdr:cNvPr>
                <xdr:cNvGrpSpPr/>
              </xdr:nvGrpSpPr>
              <xdr:grpSpPr>
                <a:xfrm>
                  <a:off x="16866173" y="12511855"/>
                  <a:ext cx="828000" cy="282574"/>
                  <a:chOff x="16866173" y="12618680"/>
                  <a:chExt cx="828000" cy="282574"/>
                </a:xfrm>
              </xdr:grpSpPr>
              <xdr:sp macro="" textlink="$R$7">
                <xdr:nvSpPr>
                  <xdr:cNvPr id="454" name="Rectángulo 453">
                    <a:extLst>
                      <a:ext uri="{FF2B5EF4-FFF2-40B4-BE49-F238E27FC236}">
                        <a16:creationId xmlns:a16="http://schemas.microsoft.com/office/drawing/2014/main" id="{00000000-0008-0000-0800-0000C6010000}"/>
                      </a:ext>
                    </a:extLst>
                  </xdr:cNvPr>
                  <xdr:cNvSpPr/>
                </xdr:nvSpPr>
                <xdr:spPr>
                  <a:xfrm>
                    <a:off x="16903592"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63503C0-8456-4376-875E-9AE23EE5EB89}" type="TxLink">
                      <a:rPr lang="en-US" sz="1100" b="1" i="0" u="none" strike="noStrike">
                        <a:solidFill>
                          <a:srgbClr val="FFFF00"/>
                        </a:solidFill>
                        <a:latin typeface="Century Gothic"/>
                      </a:rPr>
                      <a:pPr algn="ctr"/>
                      <a:t>7</a:t>
                    </a:fld>
                    <a:endParaRPr lang="es-CO" sz="1100" b="1">
                      <a:solidFill>
                        <a:srgbClr val="FFFF00"/>
                      </a:solidFill>
                    </a:endParaRPr>
                  </a:p>
                </xdr:txBody>
              </xdr:sp>
              <xdr:sp macro="" textlink="$L$7">
                <xdr:nvSpPr>
                  <xdr:cNvPr id="455" name="Rectángulo 454">
                    <a:extLst>
                      <a:ext uri="{FF2B5EF4-FFF2-40B4-BE49-F238E27FC236}">
                        <a16:creationId xmlns:a16="http://schemas.microsoft.com/office/drawing/2014/main" id="{00000000-0008-0000-0800-0000C7010000}"/>
                      </a:ext>
                    </a:extLst>
                  </xdr:cNvPr>
                  <xdr:cNvSpPr/>
                </xdr:nvSpPr>
                <xdr:spPr>
                  <a:xfrm>
                    <a:off x="17198247"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739E6A-E8A6-4DB4-B440-F7B53EA53E0B}"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
                <xdr:nvSpPr>
                  <xdr:cNvPr id="456" name="CuadroTexto 455">
                    <a:extLst>
                      <a:ext uri="{FF2B5EF4-FFF2-40B4-BE49-F238E27FC236}">
                        <a16:creationId xmlns:a16="http://schemas.microsoft.com/office/drawing/2014/main" id="{00000000-0008-0000-0800-0000C8010000}"/>
                      </a:ext>
                    </a:extLst>
                  </xdr:cNvPr>
                  <xdr:cNvSpPr txBox="1"/>
                </xdr:nvSpPr>
                <xdr:spPr>
                  <a:xfrm>
                    <a:off x="16866173" y="12618680"/>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34" name="Grupo 433">
                <a:extLst>
                  <a:ext uri="{FF2B5EF4-FFF2-40B4-BE49-F238E27FC236}">
                    <a16:creationId xmlns:a16="http://schemas.microsoft.com/office/drawing/2014/main" id="{00000000-0008-0000-0800-0000B2010000}"/>
                  </a:ext>
                </a:extLst>
              </xdr:cNvPr>
              <xdr:cNvGrpSpPr/>
            </xdr:nvGrpSpPr>
            <xdr:grpSpPr>
              <a:xfrm>
                <a:off x="17636047" y="12043791"/>
                <a:ext cx="2623084" cy="755383"/>
                <a:chOff x="17636047" y="12043791"/>
                <a:chExt cx="2623084" cy="755383"/>
              </a:xfrm>
            </xdr:grpSpPr>
            <xdr:grpSp>
              <xdr:nvGrpSpPr>
                <xdr:cNvPr id="444" name="Grupo 443">
                  <a:extLst>
                    <a:ext uri="{FF2B5EF4-FFF2-40B4-BE49-F238E27FC236}">
                      <a16:creationId xmlns:a16="http://schemas.microsoft.com/office/drawing/2014/main" id="{00000000-0008-0000-0800-0000BC010000}"/>
                    </a:ext>
                  </a:extLst>
                </xdr:cNvPr>
                <xdr:cNvGrpSpPr/>
              </xdr:nvGrpSpPr>
              <xdr:grpSpPr>
                <a:xfrm>
                  <a:off x="17636047" y="12043791"/>
                  <a:ext cx="2623084" cy="734845"/>
                  <a:chOff x="28531632" y="2081892"/>
                  <a:chExt cx="2433638" cy="585107"/>
                </a:xfrm>
              </xdr:grpSpPr>
              <xdr:sp macro="" textlink="">
                <xdr:nvSpPr>
                  <xdr:cNvPr id="449" name="Cheurón 448">
                    <a:extLst>
                      <a:ext uri="{FF2B5EF4-FFF2-40B4-BE49-F238E27FC236}">
                        <a16:creationId xmlns:a16="http://schemas.microsoft.com/office/drawing/2014/main" id="{00000000-0008-0000-0800-0000C101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50" name="CuadroTexto 449">
                    <a:extLst>
                      <a:ext uri="{FF2B5EF4-FFF2-40B4-BE49-F238E27FC236}">
                        <a16:creationId xmlns:a16="http://schemas.microsoft.com/office/drawing/2014/main" id="{00000000-0008-0000-0800-0000C2010000}"/>
                      </a:ext>
                    </a:extLst>
                  </xdr:cNvPr>
                  <xdr:cNvSpPr txBox="1"/>
                </xdr:nvSpPr>
                <xdr:spPr>
                  <a:xfrm>
                    <a:off x="28789623" y="2127664"/>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W$8">
                <xdr:nvSpPr>
                  <xdr:cNvPr id="451" name="Rectángulo redondeado 450">
                    <a:extLst>
                      <a:ext uri="{FF2B5EF4-FFF2-40B4-BE49-F238E27FC236}">
                        <a16:creationId xmlns:a16="http://schemas.microsoft.com/office/drawing/2014/main" id="{00000000-0008-0000-0800-0000C3010000}"/>
                      </a:ext>
                    </a:extLst>
                  </xdr:cNvPr>
                  <xdr:cNvSpPr/>
                </xdr:nvSpPr>
                <xdr:spPr>
                  <a:xfrm>
                    <a:off x="300900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8CDF26-B497-4F4C-88EF-7BC47AC9A248}" type="TxLink">
                      <a:rPr lang="en-US" sz="1600" b="1" i="0" u="none" strike="noStrike">
                        <a:solidFill>
                          <a:srgbClr val="FFFF00"/>
                        </a:solidFill>
                        <a:latin typeface="Century Gothic"/>
                      </a:rPr>
                      <a:pPr algn="ctr"/>
                      <a:t>-</a:t>
                    </a:fld>
                    <a:endParaRPr lang="es-CO" sz="3600">
                      <a:solidFill>
                        <a:srgbClr val="FFFF00"/>
                      </a:solidFill>
                    </a:endParaRPr>
                  </a:p>
                </xdr:txBody>
              </xdr:sp>
            </xdr:grpSp>
            <xdr:grpSp>
              <xdr:nvGrpSpPr>
                <xdr:cNvPr id="445" name="Grupo 444">
                  <a:extLst>
                    <a:ext uri="{FF2B5EF4-FFF2-40B4-BE49-F238E27FC236}">
                      <a16:creationId xmlns:a16="http://schemas.microsoft.com/office/drawing/2014/main" id="{00000000-0008-0000-0800-0000BD010000}"/>
                    </a:ext>
                  </a:extLst>
                </xdr:cNvPr>
                <xdr:cNvGrpSpPr/>
              </xdr:nvGrpSpPr>
              <xdr:grpSpPr>
                <a:xfrm>
                  <a:off x="19306363" y="12514864"/>
                  <a:ext cx="828000" cy="284310"/>
                  <a:chOff x="19306363" y="12641831"/>
                  <a:chExt cx="828000" cy="284310"/>
                </a:xfrm>
              </xdr:grpSpPr>
              <xdr:sp macro="" textlink="$R$8">
                <xdr:nvSpPr>
                  <xdr:cNvPr id="446" name="Rectángulo 445">
                    <a:extLst>
                      <a:ext uri="{FF2B5EF4-FFF2-40B4-BE49-F238E27FC236}">
                        <a16:creationId xmlns:a16="http://schemas.microsoft.com/office/drawing/2014/main" id="{00000000-0008-0000-0800-0000BE010000}"/>
                      </a:ext>
                    </a:extLst>
                  </xdr:cNvPr>
                  <xdr:cNvSpPr/>
                </xdr:nvSpPr>
                <xdr:spPr>
                  <a:xfrm>
                    <a:off x="19354359"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0DC61AD-423E-4F41-9802-80AE0BD735AA}"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L$8">
                <xdr:nvSpPr>
                  <xdr:cNvPr id="447" name="Rectángulo 446">
                    <a:extLst>
                      <a:ext uri="{FF2B5EF4-FFF2-40B4-BE49-F238E27FC236}">
                        <a16:creationId xmlns:a16="http://schemas.microsoft.com/office/drawing/2014/main" id="{00000000-0008-0000-0800-0000BF010000}"/>
                      </a:ext>
                    </a:extLst>
                  </xdr:cNvPr>
                  <xdr:cNvSpPr/>
                </xdr:nvSpPr>
                <xdr:spPr>
                  <a:xfrm>
                    <a:off x="19649014"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4224BC8-A84E-4CC7-9402-4E91CABD00F0}"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
                <xdr:nvSpPr>
                  <xdr:cNvPr id="448" name="CuadroTexto 447">
                    <a:extLst>
                      <a:ext uri="{FF2B5EF4-FFF2-40B4-BE49-F238E27FC236}">
                        <a16:creationId xmlns:a16="http://schemas.microsoft.com/office/drawing/2014/main" id="{00000000-0008-0000-0800-0000C0010000}"/>
                      </a:ext>
                    </a:extLst>
                  </xdr:cNvPr>
                  <xdr:cNvSpPr txBox="1"/>
                </xdr:nvSpPr>
                <xdr:spPr>
                  <a:xfrm>
                    <a:off x="19306363" y="12657871"/>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35" name="Grupo 434">
                <a:extLst>
                  <a:ext uri="{FF2B5EF4-FFF2-40B4-BE49-F238E27FC236}">
                    <a16:creationId xmlns:a16="http://schemas.microsoft.com/office/drawing/2014/main" id="{00000000-0008-0000-0800-0000B3010000}"/>
                  </a:ext>
                </a:extLst>
              </xdr:cNvPr>
              <xdr:cNvGrpSpPr/>
            </xdr:nvGrpSpPr>
            <xdr:grpSpPr>
              <a:xfrm>
                <a:off x="20055895" y="12043791"/>
                <a:ext cx="2623053" cy="750638"/>
                <a:chOff x="20055895" y="12043791"/>
                <a:chExt cx="2623053" cy="750638"/>
              </a:xfrm>
            </xdr:grpSpPr>
            <xdr:grpSp>
              <xdr:nvGrpSpPr>
                <xdr:cNvPr id="436" name="Grupo 435">
                  <a:extLst>
                    <a:ext uri="{FF2B5EF4-FFF2-40B4-BE49-F238E27FC236}">
                      <a16:creationId xmlns:a16="http://schemas.microsoft.com/office/drawing/2014/main" id="{00000000-0008-0000-0800-0000B4010000}"/>
                    </a:ext>
                  </a:extLst>
                </xdr:cNvPr>
                <xdr:cNvGrpSpPr/>
              </xdr:nvGrpSpPr>
              <xdr:grpSpPr>
                <a:xfrm>
                  <a:off x="20055895" y="12043791"/>
                  <a:ext cx="2623053" cy="734845"/>
                  <a:chOff x="28468627" y="2081892"/>
                  <a:chExt cx="2433638" cy="585107"/>
                </a:xfrm>
              </xdr:grpSpPr>
              <xdr:sp macro="" textlink="">
                <xdr:nvSpPr>
                  <xdr:cNvPr id="441" name="Cheurón 440">
                    <a:extLst>
                      <a:ext uri="{FF2B5EF4-FFF2-40B4-BE49-F238E27FC236}">
                        <a16:creationId xmlns:a16="http://schemas.microsoft.com/office/drawing/2014/main" id="{00000000-0008-0000-0800-0000B901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42" name="CuadroTexto 441">
                    <a:extLst>
                      <a:ext uri="{FF2B5EF4-FFF2-40B4-BE49-F238E27FC236}">
                        <a16:creationId xmlns:a16="http://schemas.microsoft.com/office/drawing/2014/main" id="{00000000-0008-0000-0800-0000BA010000}"/>
                      </a:ext>
                    </a:extLst>
                  </xdr:cNvPr>
                  <xdr:cNvSpPr txBox="1"/>
                </xdr:nvSpPr>
                <xdr:spPr>
                  <a:xfrm>
                    <a:off x="28782571"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W$9">
                <xdr:nvSpPr>
                  <xdr:cNvPr id="443" name="Rectángulo redondeado 442">
                    <a:extLst>
                      <a:ext uri="{FF2B5EF4-FFF2-40B4-BE49-F238E27FC236}">
                        <a16:creationId xmlns:a16="http://schemas.microsoft.com/office/drawing/2014/main" id="{00000000-0008-0000-0800-0000BB010000}"/>
                      </a:ext>
                    </a:extLst>
                  </xdr:cNvPr>
                  <xdr:cNvSpPr/>
                </xdr:nvSpPr>
                <xdr:spPr>
                  <a:xfrm>
                    <a:off x="30000728"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2DE47A-E9F6-4335-9C10-C7DE47AA3C92}" type="TxLink">
                      <a:rPr lang="en-US" sz="1600" b="1" i="0" u="none" strike="noStrike">
                        <a:solidFill>
                          <a:srgbClr val="FFFF00"/>
                        </a:solidFill>
                        <a:latin typeface="Century Gothic"/>
                      </a:rPr>
                      <a:pPr algn="ctr"/>
                      <a:t>9,1%</a:t>
                    </a:fld>
                    <a:endParaRPr lang="es-CO" sz="2000">
                      <a:solidFill>
                        <a:srgbClr val="FFFF00"/>
                      </a:solidFill>
                    </a:endParaRPr>
                  </a:p>
                </xdr:txBody>
              </xdr:sp>
            </xdr:grpSp>
            <xdr:grpSp>
              <xdr:nvGrpSpPr>
                <xdr:cNvPr id="437" name="Grupo 436">
                  <a:extLst>
                    <a:ext uri="{FF2B5EF4-FFF2-40B4-BE49-F238E27FC236}">
                      <a16:creationId xmlns:a16="http://schemas.microsoft.com/office/drawing/2014/main" id="{00000000-0008-0000-0800-0000B5010000}"/>
                    </a:ext>
                  </a:extLst>
                </xdr:cNvPr>
                <xdr:cNvGrpSpPr/>
              </xdr:nvGrpSpPr>
              <xdr:grpSpPr>
                <a:xfrm>
                  <a:off x="21739503" y="12503193"/>
                  <a:ext cx="825527" cy="291236"/>
                  <a:chOff x="21739503" y="12716750"/>
                  <a:chExt cx="825527" cy="291236"/>
                </a:xfrm>
              </xdr:grpSpPr>
              <xdr:sp macro="" textlink="$R$9">
                <xdr:nvSpPr>
                  <xdr:cNvPr id="438" name="Rectángulo 437">
                    <a:extLst>
                      <a:ext uri="{FF2B5EF4-FFF2-40B4-BE49-F238E27FC236}">
                        <a16:creationId xmlns:a16="http://schemas.microsoft.com/office/drawing/2014/main" id="{00000000-0008-0000-0800-0000B6010000}"/>
                      </a:ext>
                    </a:extLst>
                  </xdr:cNvPr>
                  <xdr:cNvSpPr/>
                </xdr:nvSpPr>
                <xdr:spPr>
                  <a:xfrm>
                    <a:off x="21787499" y="12728421"/>
                    <a:ext cx="429527"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9DB3305-465B-413C-B3CE-C879BB8C0A15}"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L$9">
                <xdr:nvSpPr>
                  <xdr:cNvPr id="439" name="Rectángulo 438">
                    <a:extLst>
                      <a:ext uri="{FF2B5EF4-FFF2-40B4-BE49-F238E27FC236}">
                        <a16:creationId xmlns:a16="http://schemas.microsoft.com/office/drawing/2014/main" id="{00000000-0008-0000-0800-0000B7010000}"/>
                      </a:ext>
                    </a:extLst>
                  </xdr:cNvPr>
                  <xdr:cNvSpPr/>
                </xdr:nvSpPr>
                <xdr:spPr>
                  <a:xfrm>
                    <a:off x="22079681" y="12728421"/>
                    <a:ext cx="422475"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717E7E2-A6FC-45DE-B762-033F705E15AD}" type="TxLink">
                      <a:rPr lang="en-US" sz="1100" b="1" i="0" u="none" strike="noStrike">
                        <a:solidFill>
                          <a:srgbClr val="FFFF00"/>
                        </a:solidFill>
                        <a:latin typeface="Century Gothic"/>
                      </a:rPr>
                      <a:pPr algn="ctr"/>
                      <a:t>22</a:t>
                    </a:fld>
                    <a:endParaRPr lang="es-CO" sz="1100" b="1">
                      <a:solidFill>
                        <a:srgbClr val="FFFF00"/>
                      </a:solidFill>
                    </a:endParaRPr>
                  </a:p>
                </xdr:txBody>
              </xdr:sp>
              <xdr:sp macro="" textlink="">
                <xdr:nvSpPr>
                  <xdr:cNvPr id="440" name="CuadroTexto 439">
                    <a:extLst>
                      <a:ext uri="{FF2B5EF4-FFF2-40B4-BE49-F238E27FC236}">
                        <a16:creationId xmlns:a16="http://schemas.microsoft.com/office/drawing/2014/main" id="{00000000-0008-0000-0800-0000B8010000}"/>
                      </a:ext>
                    </a:extLst>
                  </xdr:cNvPr>
                  <xdr:cNvSpPr txBox="1"/>
                </xdr:nvSpPr>
                <xdr:spPr>
                  <a:xfrm>
                    <a:off x="21739503" y="12716750"/>
                    <a:ext cx="825527"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grpSp>
          <xdr:nvGrpSpPr>
            <xdr:cNvPr id="245" name="Grupo 244">
              <a:extLst>
                <a:ext uri="{FF2B5EF4-FFF2-40B4-BE49-F238E27FC236}">
                  <a16:creationId xmlns:a16="http://schemas.microsoft.com/office/drawing/2014/main" id="{00000000-0008-0000-0800-0000F5000000}"/>
                </a:ext>
              </a:extLst>
            </xdr:cNvPr>
            <xdr:cNvGrpSpPr/>
          </xdr:nvGrpSpPr>
          <xdr:grpSpPr>
            <a:xfrm>
              <a:off x="12028652" y="12137153"/>
              <a:ext cx="10748820" cy="1556225"/>
              <a:chOff x="11993671" y="13258030"/>
              <a:chExt cx="10718416" cy="1543431"/>
            </a:xfrm>
          </xdr:grpSpPr>
          <xdr:grpSp>
            <xdr:nvGrpSpPr>
              <xdr:cNvPr id="337" name="Grupo 336">
                <a:extLst>
                  <a:ext uri="{FF2B5EF4-FFF2-40B4-BE49-F238E27FC236}">
                    <a16:creationId xmlns:a16="http://schemas.microsoft.com/office/drawing/2014/main" id="{00000000-0008-0000-0800-000051010000}"/>
                  </a:ext>
                </a:extLst>
              </xdr:cNvPr>
              <xdr:cNvGrpSpPr/>
            </xdr:nvGrpSpPr>
            <xdr:grpSpPr>
              <a:xfrm>
                <a:off x="12802141" y="13263561"/>
                <a:ext cx="2157046" cy="759759"/>
                <a:chOff x="12802141" y="13263561"/>
                <a:chExt cx="2157046" cy="759759"/>
              </a:xfrm>
            </xdr:grpSpPr>
            <xdr:grpSp>
              <xdr:nvGrpSpPr>
                <xdr:cNvPr id="422" name="Grupo 421">
                  <a:extLst>
                    <a:ext uri="{FF2B5EF4-FFF2-40B4-BE49-F238E27FC236}">
                      <a16:creationId xmlns:a16="http://schemas.microsoft.com/office/drawing/2014/main" id="{00000000-0008-0000-0800-0000A6010000}"/>
                    </a:ext>
                  </a:extLst>
                </xdr:cNvPr>
                <xdr:cNvGrpSpPr/>
              </xdr:nvGrpSpPr>
              <xdr:grpSpPr>
                <a:xfrm>
                  <a:off x="12802141" y="13263561"/>
                  <a:ext cx="2157046" cy="732326"/>
                  <a:chOff x="28686311" y="2081892"/>
                  <a:chExt cx="2000250" cy="585107"/>
                </a:xfrm>
              </xdr:grpSpPr>
              <xdr:sp macro="" textlink="">
                <xdr:nvSpPr>
                  <xdr:cNvPr id="427" name="Cheurón 426">
                    <a:extLst>
                      <a:ext uri="{FF2B5EF4-FFF2-40B4-BE49-F238E27FC236}">
                        <a16:creationId xmlns:a16="http://schemas.microsoft.com/office/drawing/2014/main" id="{00000000-0008-0000-0800-0000AB010000}"/>
                      </a:ext>
                    </a:extLst>
                  </xdr:cNvPr>
                  <xdr:cNvSpPr/>
                </xdr:nvSpPr>
                <xdr:spPr>
                  <a:xfrm>
                    <a:off x="2868631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28" name="CuadroTexto 427">
                    <a:extLst>
                      <a:ext uri="{FF2B5EF4-FFF2-40B4-BE49-F238E27FC236}">
                        <a16:creationId xmlns:a16="http://schemas.microsoft.com/office/drawing/2014/main" id="{00000000-0008-0000-0800-0000AC010000}"/>
                      </a:ext>
                    </a:extLst>
                  </xdr:cNvPr>
                  <xdr:cNvSpPr txBox="1"/>
                </xdr:nvSpPr>
                <xdr:spPr>
                  <a:xfrm>
                    <a:off x="28878836" y="2159695"/>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W$10">
                <xdr:nvSpPr>
                  <xdr:cNvPr id="429" name="Rectángulo redondeado 428">
                    <a:extLst>
                      <a:ext uri="{FF2B5EF4-FFF2-40B4-BE49-F238E27FC236}">
                        <a16:creationId xmlns:a16="http://schemas.microsoft.com/office/drawing/2014/main" id="{00000000-0008-0000-0800-0000AD010000}"/>
                      </a:ext>
                    </a:extLst>
                  </xdr:cNvPr>
                  <xdr:cNvSpPr/>
                </xdr:nvSpPr>
                <xdr:spPr>
                  <a:xfrm>
                    <a:off x="29808259" y="217277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4D29262-067F-47B6-AD49-B50B6129928F}" type="TxLink">
                      <a:rPr lang="en-US" sz="1600" b="1" i="0" u="none" strike="noStrike">
                        <a:solidFill>
                          <a:srgbClr val="FFFF00"/>
                        </a:solidFill>
                        <a:latin typeface="Century Gothic"/>
                      </a:rPr>
                      <a:pPr algn="ctr"/>
                      <a:t>20,0%</a:t>
                    </a:fld>
                    <a:endParaRPr lang="es-CO" sz="2000">
                      <a:solidFill>
                        <a:srgbClr val="FFFF00"/>
                      </a:solidFill>
                    </a:endParaRPr>
                  </a:p>
                </xdr:txBody>
              </xdr:sp>
            </xdr:grpSp>
            <xdr:grpSp>
              <xdr:nvGrpSpPr>
                <xdr:cNvPr id="423" name="Grupo 422">
                  <a:extLst>
                    <a:ext uri="{FF2B5EF4-FFF2-40B4-BE49-F238E27FC236}">
                      <a16:creationId xmlns:a16="http://schemas.microsoft.com/office/drawing/2014/main" id="{00000000-0008-0000-0800-0000A7010000}"/>
                    </a:ext>
                  </a:extLst>
                </xdr:cNvPr>
                <xdr:cNvGrpSpPr/>
              </xdr:nvGrpSpPr>
              <xdr:grpSpPr>
                <a:xfrm>
                  <a:off x="14002235" y="13732084"/>
                  <a:ext cx="828000" cy="291236"/>
                  <a:chOff x="14028212" y="13844651"/>
                  <a:chExt cx="828000" cy="291236"/>
                </a:xfrm>
              </xdr:grpSpPr>
              <xdr:sp macro="" textlink="$R$10">
                <xdr:nvSpPr>
                  <xdr:cNvPr id="424" name="Rectángulo 423">
                    <a:extLst>
                      <a:ext uri="{FF2B5EF4-FFF2-40B4-BE49-F238E27FC236}">
                        <a16:creationId xmlns:a16="http://schemas.microsoft.com/office/drawing/2014/main" id="{00000000-0008-0000-0800-0000A8010000}"/>
                      </a:ext>
                    </a:extLst>
                  </xdr:cNvPr>
                  <xdr:cNvSpPr/>
                </xdr:nvSpPr>
                <xdr:spPr>
                  <a:xfrm>
                    <a:off x="14084867" y="1386003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6A4229-9C9C-4597-8145-E6FCA2C547B7}"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L$10">
                <xdr:nvSpPr>
                  <xdr:cNvPr id="425" name="Rectángulo 424">
                    <a:extLst>
                      <a:ext uri="{FF2B5EF4-FFF2-40B4-BE49-F238E27FC236}">
                        <a16:creationId xmlns:a16="http://schemas.microsoft.com/office/drawing/2014/main" id="{00000000-0008-0000-0800-0000A9010000}"/>
                      </a:ext>
                    </a:extLst>
                  </xdr:cNvPr>
                  <xdr:cNvSpPr/>
                </xdr:nvSpPr>
                <xdr:spPr>
                  <a:xfrm>
                    <a:off x="14362204" y="1386003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A6F430-B0B9-4FB4-BB29-628E2AFDEFAA}" type="TxLink">
                      <a:rPr lang="en-US" sz="1100" b="1" i="0" u="none" strike="noStrike">
                        <a:solidFill>
                          <a:srgbClr val="FFFF00"/>
                        </a:solidFill>
                        <a:latin typeface="Century Gothic"/>
                      </a:rPr>
                      <a:pPr algn="ctr"/>
                      <a:t>15</a:t>
                    </a:fld>
                    <a:endParaRPr lang="es-CO" sz="1100" b="1">
                      <a:solidFill>
                        <a:srgbClr val="FFFF00"/>
                      </a:solidFill>
                    </a:endParaRPr>
                  </a:p>
                </xdr:txBody>
              </xdr:sp>
              <xdr:sp macro="" textlink="">
                <xdr:nvSpPr>
                  <xdr:cNvPr id="426" name="CuadroTexto 425">
                    <a:extLst>
                      <a:ext uri="{FF2B5EF4-FFF2-40B4-BE49-F238E27FC236}">
                        <a16:creationId xmlns:a16="http://schemas.microsoft.com/office/drawing/2014/main" id="{00000000-0008-0000-0800-0000AA010000}"/>
                      </a:ext>
                    </a:extLst>
                  </xdr:cNvPr>
                  <xdr:cNvSpPr txBox="1"/>
                </xdr:nvSpPr>
                <xdr:spPr>
                  <a:xfrm>
                    <a:off x="14028212" y="13844651"/>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38" name="Grupo 337">
                <a:extLst>
                  <a:ext uri="{FF2B5EF4-FFF2-40B4-BE49-F238E27FC236}">
                    <a16:creationId xmlns:a16="http://schemas.microsoft.com/office/drawing/2014/main" id="{00000000-0008-0000-0800-000052010000}"/>
                  </a:ext>
                </a:extLst>
              </xdr:cNvPr>
              <xdr:cNvGrpSpPr/>
            </xdr:nvGrpSpPr>
            <xdr:grpSpPr>
              <a:xfrm>
                <a:off x="14744310" y="13266331"/>
                <a:ext cx="2157048" cy="754021"/>
                <a:chOff x="14744310" y="13266331"/>
                <a:chExt cx="2157048" cy="754021"/>
              </a:xfrm>
            </xdr:grpSpPr>
            <xdr:grpSp>
              <xdr:nvGrpSpPr>
                <xdr:cNvPr id="414" name="Grupo 413">
                  <a:extLst>
                    <a:ext uri="{FF2B5EF4-FFF2-40B4-BE49-F238E27FC236}">
                      <a16:creationId xmlns:a16="http://schemas.microsoft.com/office/drawing/2014/main" id="{00000000-0008-0000-0800-00009E010000}"/>
                    </a:ext>
                  </a:extLst>
                </xdr:cNvPr>
                <xdr:cNvGrpSpPr/>
              </xdr:nvGrpSpPr>
              <xdr:grpSpPr>
                <a:xfrm>
                  <a:off x="14744310" y="13266331"/>
                  <a:ext cx="2157048" cy="732326"/>
                  <a:chOff x="28670251" y="2081892"/>
                  <a:chExt cx="2000250" cy="585107"/>
                </a:xfrm>
              </xdr:grpSpPr>
              <xdr:sp macro="" textlink="">
                <xdr:nvSpPr>
                  <xdr:cNvPr id="419" name="Cheurón 418">
                    <a:extLst>
                      <a:ext uri="{FF2B5EF4-FFF2-40B4-BE49-F238E27FC236}">
                        <a16:creationId xmlns:a16="http://schemas.microsoft.com/office/drawing/2014/main" id="{00000000-0008-0000-0800-0000A3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20" name="CuadroTexto 419">
                    <a:extLst>
                      <a:ext uri="{FF2B5EF4-FFF2-40B4-BE49-F238E27FC236}">
                        <a16:creationId xmlns:a16="http://schemas.microsoft.com/office/drawing/2014/main" id="{00000000-0008-0000-0800-0000A4010000}"/>
                      </a:ext>
                    </a:extLst>
                  </xdr:cNvPr>
                  <xdr:cNvSpPr txBox="1"/>
                </xdr:nvSpPr>
                <xdr:spPr>
                  <a:xfrm>
                    <a:off x="28867685" y="2166613"/>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W$11">
                <xdr:nvSpPr>
                  <xdr:cNvPr id="421" name="Rectángulo redondeado 420">
                    <a:extLst>
                      <a:ext uri="{FF2B5EF4-FFF2-40B4-BE49-F238E27FC236}">
                        <a16:creationId xmlns:a16="http://schemas.microsoft.com/office/drawing/2014/main" id="{00000000-0008-0000-0800-0000A5010000}"/>
                      </a:ext>
                    </a:extLst>
                  </xdr:cNvPr>
                  <xdr:cNvSpPr/>
                </xdr:nvSpPr>
                <xdr:spPr>
                  <a:xfrm>
                    <a:off x="29779599"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54A2D8-3750-4A5F-A428-18DA045958AF}" type="TxLink">
                      <a:rPr lang="en-US" sz="1600" b="1" i="0" u="none" strike="noStrike">
                        <a:solidFill>
                          <a:srgbClr val="FFFF00"/>
                        </a:solidFill>
                        <a:latin typeface="Century Gothic"/>
                      </a:rPr>
                      <a:pPr algn="ctr"/>
                      <a:t>66,7%</a:t>
                    </a:fld>
                    <a:endParaRPr lang="es-CO" sz="2400">
                      <a:solidFill>
                        <a:srgbClr val="FFFF00"/>
                      </a:solidFill>
                    </a:endParaRPr>
                  </a:p>
                </xdr:txBody>
              </xdr:sp>
            </xdr:grpSp>
            <xdr:grpSp>
              <xdr:nvGrpSpPr>
                <xdr:cNvPr id="415" name="Grupo 414">
                  <a:extLst>
                    <a:ext uri="{FF2B5EF4-FFF2-40B4-BE49-F238E27FC236}">
                      <a16:creationId xmlns:a16="http://schemas.microsoft.com/office/drawing/2014/main" id="{00000000-0008-0000-0800-00009F010000}"/>
                    </a:ext>
                  </a:extLst>
                </xdr:cNvPr>
                <xdr:cNvGrpSpPr/>
              </xdr:nvGrpSpPr>
              <xdr:grpSpPr>
                <a:xfrm>
                  <a:off x="15935931" y="13737775"/>
                  <a:ext cx="828000" cy="282577"/>
                  <a:chOff x="16013862" y="13850342"/>
                  <a:chExt cx="828000" cy="282577"/>
                </a:xfrm>
              </xdr:grpSpPr>
              <xdr:sp macro="" textlink="$R$11">
                <xdr:nvSpPr>
                  <xdr:cNvPr id="416" name="Rectángulo 415">
                    <a:extLst>
                      <a:ext uri="{FF2B5EF4-FFF2-40B4-BE49-F238E27FC236}">
                        <a16:creationId xmlns:a16="http://schemas.microsoft.com/office/drawing/2014/main" id="{00000000-0008-0000-0800-0000A0010000}"/>
                      </a:ext>
                    </a:extLst>
                  </xdr:cNvPr>
                  <xdr:cNvSpPr/>
                </xdr:nvSpPr>
                <xdr:spPr>
                  <a:xfrm>
                    <a:off x="16070517" y="13857065"/>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EAFE0EF-3CDD-41F9-B8FC-D90C684D3483}"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L$11">
                <xdr:nvSpPr>
                  <xdr:cNvPr id="417" name="Rectángulo 416">
                    <a:extLst>
                      <a:ext uri="{FF2B5EF4-FFF2-40B4-BE49-F238E27FC236}">
                        <a16:creationId xmlns:a16="http://schemas.microsoft.com/office/drawing/2014/main" id="{00000000-0008-0000-0800-0000A1010000}"/>
                      </a:ext>
                    </a:extLst>
                  </xdr:cNvPr>
                  <xdr:cNvSpPr/>
                </xdr:nvSpPr>
                <xdr:spPr>
                  <a:xfrm>
                    <a:off x="16365172" y="13857065"/>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E38CC8-3019-427A-9971-513FF790D8D3}"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
                <xdr:nvSpPr>
                  <xdr:cNvPr id="418" name="CuadroTexto 417">
                    <a:extLst>
                      <a:ext uri="{FF2B5EF4-FFF2-40B4-BE49-F238E27FC236}">
                        <a16:creationId xmlns:a16="http://schemas.microsoft.com/office/drawing/2014/main" id="{00000000-0008-0000-0800-0000A2010000}"/>
                      </a:ext>
                    </a:extLst>
                  </xdr:cNvPr>
                  <xdr:cNvSpPr txBox="1"/>
                </xdr:nvSpPr>
                <xdr:spPr>
                  <a:xfrm>
                    <a:off x="16013862" y="13850342"/>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39" name="Grupo 338">
                <a:extLst>
                  <a:ext uri="{FF2B5EF4-FFF2-40B4-BE49-F238E27FC236}">
                    <a16:creationId xmlns:a16="http://schemas.microsoft.com/office/drawing/2014/main" id="{00000000-0008-0000-0800-000053010000}"/>
                  </a:ext>
                </a:extLst>
              </xdr:cNvPr>
              <xdr:cNvGrpSpPr/>
            </xdr:nvGrpSpPr>
            <xdr:grpSpPr>
              <a:xfrm>
                <a:off x="16703763" y="13269100"/>
                <a:ext cx="2157047" cy="752614"/>
                <a:chOff x="16703763" y="13269100"/>
                <a:chExt cx="2157047" cy="752614"/>
              </a:xfrm>
            </xdr:grpSpPr>
            <xdr:grpSp>
              <xdr:nvGrpSpPr>
                <xdr:cNvPr id="406" name="Grupo 405">
                  <a:extLst>
                    <a:ext uri="{FF2B5EF4-FFF2-40B4-BE49-F238E27FC236}">
                      <a16:creationId xmlns:a16="http://schemas.microsoft.com/office/drawing/2014/main" id="{00000000-0008-0000-0800-000096010000}"/>
                    </a:ext>
                  </a:extLst>
                </xdr:cNvPr>
                <xdr:cNvGrpSpPr/>
              </xdr:nvGrpSpPr>
              <xdr:grpSpPr>
                <a:xfrm>
                  <a:off x="16703763" y="13269100"/>
                  <a:ext cx="2157047" cy="732326"/>
                  <a:chOff x="28670251" y="2081892"/>
                  <a:chExt cx="2000250" cy="585107"/>
                </a:xfrm>
              </xdr:grpSpPr>
              <xdr:sp macro="" textlink="">
                <xdr:nvSpPr>
                  <xdr:cNvPr id="411" name="Cheurón 410">
                    <a:extLst>
                      <a:ext uri="{FF2B5EF4-FFF2-40B4-BE49-F238E27FC236}">
                        <a16:creationId xmlns:a16="http://schemas.microsoft.com/office/drawing/2014/main" id="{00000000-0008-0000-0800-00009B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12" name="CuadroTexto 411">
                    <a:extLst>
                      <a:ext uri="{FF2B5EF4-FFF2-40B4-BE49-F238E27FC236}">
                        <a16:creationId xmlns:a16="http://schemas.microsoft.com/office/drawing/2014/main" id="{00000000-0008-0000-0800-00009C010000}"/>
                      </a:ext>
                    </a:extLst>
                  </xdr:cNvPr>
                  <xdr:cNvSpPr txBox="1"/>
                </xdr:nvSpPr>
                <xdr:spPr>
                  <a:xfrm>
                    <a:off x="28872820" y="2159695"/>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W$12">
                <xdr:nvSpPr>
                  <xdr:cNvPr id="413" name="Rectángulo redondeado 412">
                    <a:extLst>
                      <a:ext uri="{FF2B5EF4-FFF2-40B4-BE49-F238E27FC236}">
                        <a16:creationId xmlns:a16="http://schemas.microsoft.com/office/drawing/2014/main" id="{00000000-0008-0000-0800-00009D010000}"/>
                      </a:ext>
                    </a:extLst>
                  </xdr:cNvPr>
                  <xdr:cNvSpPr/>
                </xdr:nvSpPr>
                <xdr:spPr>
                  <a:xfrm>
                    <a:off x="29784173"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051F927-3B12-48F1-A3BE-D947120F6982}" type="TxLink">
                      <a:rPr lang="en-US" sz="1600" b="1" i="0" u="none" strike="noStrike">
                        <a:solidFill>
                          <a:srgbClr val="FFFF00"/>
                        </a:solidFill>
                        <a:latin typeface="Century Gothic"/>
                      </a:rPr>
                      <a:pPr algn="ctr"/>
                      <a:t>30,8%</a:t>
                    </a:fld>
                    <a:endParaRPr lang="es-CO" sz="2400">
                      <a:solidFill>
                        <a:srgbClr val="FFFF00"/>
                      </a:solidFill>
                    </a:endParaRPr>
                  </a:p>
                </xdr:txBody>
              </xdr:sp>
            </xdr:grpSp>
            <xdr:grpSp>
              <xdr:nvGrpSpPr>
                <xdr:cNvPr id="407" name="Grupo 406">
                  <a:extLst>
                    <a:ext uri="{FF2B5EF4-FFF2-40B4-BE49-F238E27FC236}">
                      <a16:creationId xmlns:a16="http://schemas.microsoft.com/office/drawing/2014/main" id="{00000000-0008-0000-0800-000097010000}"/>
                    </a:ext>
                  </a:extLst>
                </xdr:cNvPr>
                <xdr:cNvGrpSpPr/>
              </xdr:nvGrpSpPr>
              <xdr:grpSpPr>
                <a:xfrm>
                  <a:off x="17898080" y="13739137"/>
                  <a:ext cx="828000" cy="282577"/>
                  <a:chOff x="17993329" y="13851704"/>
                  <a:chExt cx="828000" cy="282577"/>
                </a:xfrm>
              </xdr:grpSpPr>
              <xdr:sp macro="" textlink="$R$12">
                <xdr:nvSpPr>
                  <xdr:cNvPr id="408" name="Rectángulo 407">
                    <a:extLst>
                      <a:ext uri="{FF2B5EF4-FFF2-40B4-BE49-F238E27FC236}">
                        <a16:creationId xmlns:a16="http://schemas.microsoft.com/office/drawing/2014/main" id="{00000000-0008-0000-0800-000098010000}"/>
                      </a:ext>
                    </a:extLst>
                  </xdr:cNvPr>
                  <xdr:cNvSpPr/>
                </xdr:nvSpPr>
                <xdr:spPr>
                  <a:xfrm>
                    <a:off x="18032666" y="1385842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D5895A2-D268-4C1B-9262-0E77DA109EE5}"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L$12">
                <xdr:nvSpPr>
                  <xdr:cNvPr id="409" name="Rectángulo 408">
                    <a:extLst>
                      <a:ext uri="{FF2B5EF4-FFF2-40B4-BE49-F238E27FC236}">
                        <a16:creationId xmlns:a16="http://schemas.microsoft.com/office/drawing/2014/main" id="{00000000-0008-0000-0800-000099010000}"/>
                      </a:ext>
                    </a:extLst>
                  </xdr:cNvPr>
                  <xdr:cNvSpPr/>
                </xdr:nvSpPr>
                <xdr:spPr>
                  <a:xfrm>
                    <a:off x="18327321" y="1385842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7BDD045-B982-4B6B-B1AB-57A04DA7679D}"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410" name="CuadroTexto 409">
                    <a:extLst>
                      <a:ext uri="{FF2B5EF4-FFF2-40B4-BE49-F238E27FC236}">
                        <a16:creationId xmlns:a16="http://schemas.microsoft.com/office/drawing/2014/main" id="{00000000-0008-0000-0800-00009A010000}"/>
                      </a:ext>
                    </a:extLst>
                  </xdr:cNvPr>
                  <xdr:cNvSpPr txBox="1"/>
                </xdr:nvSpPr>
                <xdr:spPr>
                  <a:xfrm>
                    <a:off x="17993329" y="13851704"/>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0" name="Grupo 339">
                <a:extLst>
                  <a:ext uri="{FF2B5EF4-FFF2-40B4-BE49-F238E27FC236}">
                    <a16:creationId xmlns:a16="http://schemas.microsoft.com/office/drawing/2014/main" id="{00000000-0008-0000-0800-000054010000}"/>
                  </a:ext>
                </a:extLst>
              </xdr:cNvPr>
              <xdr:cNvGrpSpPr/>
            </xdr:nvGrpSpPr>
            <xdr:grpSpPr>
              <a:xfrm>
                <a:off x="18649578" y="13258030"/>
                <a:ext cx="2140161" cy="771849"/>
                <a:chOff x="18649578" y="13258030"/>
                <a:chExt cx="2140161" cy="771849"/>
              </a:xfrm>
            </xdr:grpSpPr>
            <xdr:grpSp>
              <xdr:nvGrpSpPr>
                <xdr:cNvPr id="398" name="Grupo 397">
                  <a:extLst>
                    <a:ext uri="{FF2B5EF4-FFF2-40B4-BE49-F238E27FC236}">
                      <a16:creationId xmlns:a16="http://schemas.microsoft.com/office/drawing/2014/main" id="{00000000-0008-0000-0800-00008E010000}"/>
                    </a:ext>
                  </a:extLst>
                </xdr:cNvPr>
                <xdr:cNvGrpSpPr/>
              </xdr:nvGrpSpPr>
              <xdr:grpSpPr>
                <a:xfrm>
                  <a:off x="18649578" y="13258030"/>
                  <a:ext cx="2140161" cy="732326"/>
                  <a:chOff x="28670251" y="2081892"/>
                  <a:chExt cx="2025093" cy="585107"/>
                </a:xfrm>
              </xdr:grpSpPr>
              <xdr:sp macro="" textlink="">
                <xdr:nvSpPr>
                  <xdr:cNvPr id="403" name="Cheurón 402">
                    <a:extLst>
                      <a:ext uri="{FF2B5EF4-FFF2-40B4-BE49-F238E27FC236}">
                        <a16:creationId xmlns:a16="http://schemas.microsoft.com/office/drawing/2014/main" id="{00000000-0008-0000-0800-000093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04" name="CuadroTexto 403">
                    <a:extLst>
                      <a:ext uri="{FF2B5EF4-FFF2-40B4-BE49-F238E27FC236}">
                        <a16:creationId xmlns:a16="http://schemas.microsoft.com/office/drawing/2014/main" id="{00000000-0008-0000-0800-000094010000}"/>
                      </a:ext>
                    </a:extLst>
                  </xdr:cNvPr>
                  <xdr:cNvSpPr txBox="1"/>
                </xdr:nvSpPr>
                <xdr:spPr>
                  <a:xfrm>
                    <a:off x="28759318" y="2166613"/>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W$13">
                <xdr:nvSpPr>
                  <xdr:cNvPr id="405" name="Rectángulo redondeado 404">
                    <a:extLst>
                      <a:ext uri="{FF2B5EF4-FFF2-40B4-BE49-F238E27FC236}">
                        <a16:creationId xmlns:a16="http://schemas.microsoft.com/office/drawing/2014/main" id="{00000000-0008-0000-0800-000095010000}"/>
                      </a:ext>
                    </a:extLst>
                  </xdr:cNvPr>
                  <xdr:cNvSpPr/>
                </xdr:nvSpPr>
                <xdr:spPr>
                  <a:xfrm>
                    <a:off x="29810881" y="2176914"/>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2342E4-25D1-4010-A4B3-4A5FC635A550}"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99" name="Grupo 398">
                  <a:extLst>
                    <a:ext uri="{FF2B5EF4-FFF2-40B4-BE49-F238E27FC236}">
                      <a16:creationId xmlns:a16="http://schemas.microsoft.com/office/drawing/2014/main" id="{00000000-0008-0000-0800-00008F010000}"/>
                    </a:ext>
                  </a:extLst>
                </xdr:cNvPr>
                <xdr:cNvGrpSpPr/>
              </xdr:nvGrpSpPr>
              <xdr:grpSpPr>
                <a:xfrm>
                  <a:off x="19802083" y="13747302"/>
                  <a:ext cx="825525" cy="282577"/>
                  <a:chOff x="19905991" y="13859869"/>
                  <a:chExt cx="825525" cy="282577"/>
                </a:xfrm>
              </xdr:grpSpPr>
              <xdr:sp macro="" textlink="">
                <xdr:nvSpPr>
                  <xdr:cNvPr id="400" name="CuadroTexto 399">
                    <a:extLst>
                      <a:ext uri="{FF2B5EF4-FFF2-40B4-BE49-F238E27FC236}">
                        <a16:creationId xmlns:a16="http://schemas.microsoft.com/office/drawing/2014/main" id="{00000000-0008-0000-0800-000090010000}"/>
                      </a:ext>
                    </a:extLst>
                  </xdr:cNvPr>
                  <xdr:cNvSpPr txBox="1"/>
                </xdr:nvSpPr>
                <xdr:spPr>
                  <a:xfrm>
                    <a:off x="19905991" y="1385986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13">
                <xdr:nvSpPr>
                  <xdr:cNvPr id="401" name="Rectángulo 400">
                    <a:extLst>
                      <a:ext uri="{FF2B5EF4-FFF2-40B4-BE49-F238E27FC236}">
                        <a16:creationId xmlns:a16="http://schemas.microsoft.com/office/drawing/2014/main" id="{00000000-0008-0000-0800-000091010000}"/>
                      </a:ext>
                    </a:extLst>
                  </xdr:cNvPr>
                  <xdr:cNvSpPr/>
                </xdr:nvSpPr>
                <xdr:spPr>
                  <a:xfrm>
                    <a:off x="19958696" y="1386659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00A1535-C3CB-4AC3-A8A6-BF5F851A351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3">
                <xdr:nvSpPr>
                  <xdr:cNvPr id="402" name="Rectángulo 401">
                    <a:extLst>
                      <a:ext uri="{FF2B5EF4-FFF2-40B4-BE49-F238E27FC236}">
                        <a16:creationId xmlns:a16="http://schemas.microsoft.com/office/drawing/2014/main" id="{00000000-0008-0000-0800-000092010000}"/>
                      </a:ext>
                    </a:extLst>
                  </xdr:cNvPr>
                  <xdr:cNvSpPr/>
                </xdr:nvSpPr>
                <xdr:spPr>
                  <a:xfrm>
                    <a:off x="20253351" y="1386659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DEFB23-7997-4125-ACA2-5AD283EF8239}" type="TxLink">
                      <a:rPr lang="en-US" sz="1100" b="1" i="0" u="none" strike="noStrike">
                        <a:solidFill>
                          <a:srgbClr val="FFFF00"/>
                        </a:solidFill>
                        <a:latin typeface="Century Gothic"/>
                      </a:rPr>
                      <a:pPr algn="ctr"/>
                      <a:t>17</a:t>
                    </a:fld>
                    <a:endParaRPr lang="es-CO" sz="1100" b="1">
                      <a:solidFill>
                        <a:srgbClr val="FFFF00"/>
                      </a:solidFill>
                    </a:endParaRPr>
                  </a:p>
                </xdr:txBody>
              </xdr:sp>
            </xdr:grpSp>
          </xdr:grpSp>
          <xdr:grpSp>
            <xdr:nvGrpSpPr>
              <xdr:cNvPr id="341" name="Grupo 340">
                <a:extLst>
                  <a:ext uri="{FF2B5EF4-FFF2-40B4-BE49-F238E27FC236}">
                    <a16:creationId xmlns:a16="http://schemas.microsoft.com/office/drawing/2014/main" id="{00000000-0008-0000-0800-000055010000}"/>
                  </a:ext>
                </a:extLst>
              </xdr:cNvPr>
              <xdr:cNvGrpSpPr/>
            </xdr:nvGrpSpPr>
            <xdr:grpSpPr>
              <a:xfrm>
                <a:off x="11993671" y="13263576"/>
                <a:ext cx="719623" cy="1537885"/>
                <a:chOff x="27415455" y="8354785"/>
                <a:chExt cx="720610" cy="1512000"/>
              </a:xfrm>
            </xdr:grpSpPr>
            <xdr:sp macro="" textlink="">
              <xdr:nvSpPr>
                <xdr:cNvPr id="396" name="Rectángulo 395">
                  <a:extLst>
                    <a:ext uri="{FF2B5EF4-FFF2-40B4-BE49-F238E27FC236}">
                      <a16:creationId xmlns:a16="http://schemas.microsoft.com/office/drawing/2014/main" id="{00000000-0008-0000-0800-00008C010000}"/>
                    </a:ext>
                  </a:extLst>
                </xdr:cNvPr>
                <xdr:cNvSpPr/>
              </xdr:nvSpPr>
              <xdr:spPr>
                <a:xfrm>
                  <a:off x="27415455" y="8354785"/>
                  <a:ext cx="72061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97" name="CuadroTexto 396">
                  <a:extLst>
                    <a:ext uri="{FF2B5EF4-FFF2-40B4-BE49-F238E27FC236}">
                      <a16:creationId xmlns:a16="http://schemas.microsoft.com/office/drawing/2014/main" id="{00000000-0008-0000-0800-00008D010000}"/>
                    </a:ext>
                  </a:extLst>
                </xdr:cNvPr>
                <xdr:cNvSpPr txBox="1"/>
              </xdr:nvSpPr>
              <xdr:spPr>
                <a:xfrm rot="16200000">
                  <a:off x="27161406"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342" name="Grupo 341">
                <a:extLst>
                  <a:ext uri="{FF2B5EF4-FFF2-40B4-BE49-F238E27FC236}">
                    <a16:creationId xmlns:a16="http://schemas.microsoft.com/office/drawing/2014/main" id="{00000000-0008-0000-0800-000056010000}"/>
                  </a:ext>
                </a:extLst>
              </xdr:cNvPr>
              <xdr:cNvGrpSpPr/>
            </xdr:nvGrpSpPr>
            <xdr:grpSpPr>
              <a:xfrm>
                <a:off x="20554737" y="13260800"/>
                <a:ext cx="2157047" cy="771677"/>
                <a:chOff x="20554737" y="13260800"/>
                <a:chExt cx="2157047" cy="771677"/>
              </a:xfrm>
            </xdr:grpSpPr>
            <xdr:grpSp>
              <xdr:nvGrpSpPr>
                <xdr:cNvPr id="388" name="Grupo 387">
                  <a:extLst>
                    <a:ext uri="{FF2B5EF4-FFF2-40B4-BE49-F238E27FC236}">
                      <a16:creationId xmlns:a16="http://schemas.microsoft.com/office/drawing/2014/main" id="{00000000-0008-0000-0800-000084010000}"/>
                    </a:ext>
                  </a:extLst>
                </xdr:cNvPr>
                <xdr:cNvGrpSpPr/>
              </xdr:nvGrpSpPr>
              <xdr:grpSpPr>
                <a:xfrm>
                  <a:off x="20554737" y="13260800"/>
                  <a:ext cx="2157047" cy="732326"/>
                  <a:chOff x="28670251" y="2081892"/>
                  <a:chExt cx="2000250" cy="585107"/>
                </a:xfrm>
              </xdr:grpSpPr>
              <xdr:sp macro="" textlink="">
                <xdr:nvSpPr>
                  <xdr:cNvPr id="393" name="Cheurón 392">
                    <a:extLst>
                      <a:ext uri="{FF2B5EF4-FFF2-40B4-BE49-F238E27FC236}">
                        <a16:creationId xmlns:a16="http://schemas.microsoft.com/office/drawing/2014/main" id="{00000000-0008-0000-0800-000089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94" name="CuadroTexto 393">
                    <a:extLst>
                      <a:ext uri="{FF2B5EF4-FFF2-40B4-BE49-F238E27FC236}">
                        <a16:creationId xmlns:a16="http://schemas.microsoft.com/office/drawing/2014/main" id="{00000000-0008-0000-0800-00008A010000}"/>
                      </a:ext>
                    </a:extLst>
                  </xdr:cNvPr>
                  <xdr:cNvSpPr txBox="1"/>
                </xdr:nvSpPr>
                <xdr:spPr>
                  <a:xfrm>
                    <a:off x="28869718" y="2159695"/>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W$14">
                <xdr:nvSpPr>
                  <xdr:cNvPr id="395" name="Rectángulo redondeado 394">
                    <a:extLst>
                      <a:ext uri="{FF2B5EF4-FFF2-40B4-BE49-F238E27FC236}">
                        <a16:creationId xmlns:a16="http://schemas.microsoft.com/office/drawing/2014/main" id="{00000000-0008-0000-0800-00008B010000}"/>
                      </a:ext>
                    </a:extLst>
                  </xdr:cNvPr>
                  <xdr:cNvSpPr/>
                </xdr:nvSpPr>
                <xdr:spPr>
                  <a:xfrm>
                    <a:off x="29786518" y="216585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448F4F-D896-4DB7-8FA5-54982A0643CF}" type="TxLink">
                      <a:rPr lang="en-US" sz="1600" b="1" i="0" u="none" strike="noStrike">
                        <a:solidFill>
                          <a:srgbClr val="FFFF00"/>
                        </a:solidFill>
                        <a:latin typeface="Century Gothic"/>
                      </a:rPr>
                      <a:pPr algn="ctr"/>
                      <a:t>25,0%</a:t>
                    </a:fld>
                    <a:endParaRPr lang="es-CO" sz="2400">
                      <a:solidFill>
                        <a:srgbClr val="FFFF00"/>
                      </a:solidFill>
                    </a:endParaRPr>
                  </a:p>
                </xdr:txBody>
              </xdr:sp>
            </xdr:grpSp>
            <xdr:grpSp>
              <xdr:nvGrpSpPr>
                <xdr:cNvPr id="389" name="Grupo 388">
                  <a:extLst>
                    <a:ext uri="{FF2B5EF4-FFF2-40B4-BE49-F238E27FC236}">
                      <a16:creationId xmlns:a16="http://schemas.microsoft.com/office/drawing/2014/main" id="{00000000-0008-0000-0800-000085010000}"/>
                    </a:ext>
                  </a:extLst>
                </xdr:cNvPr>
                <xdr:cNvGrpSpPr/>
              </xdr:nvGrpSpPr>
              <xdr:grpSpPr>
                <a:xfrm>
                  <a:off x="21720933" y="13741241"/>
                  <a:ext cx="825525" cy="291236"/>
                  <a:chOff x="21772887" y="13853808"/>
                  <a:chExt cx="825525" cy="291236"/>
                </a:xfrm>
              </xdr:grpSpPr>
              <xdr:sp macro="" textlink="">
                <xdr:nvSpPr>
                  <xdr:cNvPr id="390" name="CuadroTexto 389">
                    <a:extLst>
                      <a:ext uri="{FF2B5EF4-FFF2-40B4-BE49-F238E27FC236}">
                        <a16:creationId xmlns:a16="http://schemas.microsoft.com/office/drawing/2014/main" id="{00000000-0008-0000-0800-000086010000}"/>
                      </a:ext>
                    </a:extLst>
                  </xdr:cNvPr>
                  <xdr:cNvSpPr txBox="1"/>
                </xdr:nvSpPr>
                <xdr:spPr>
                  <a:xfrm>
                    <a:off x="21772887" y="1385380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14">
                <xdr:nvSpPr>
                  <xdr:cNvPr id="391" name="Rectángulo 390">
                    <a:extLst>
                      <a:ext uri="{FF2B5EF4-FFF2-40B4-BE49-F238E27FC236}">
                        <a16:creationId xmlns:a16="http://schemas.microsoft.com/office/drawing/2014/main" id="{00000000-0008-0000-0800-000087010000}"/>
                      </a:ext>
                    </a:extLst>
                  </xdr:cNvPr>
                  <xdr:cNvSpPr/>
                </xdr:nvSpPr>
                <xdr:spPr>
                  <a:xfrm>
                    <a:off x="21834251" y="13869190"/>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7B154D8-6472-42E4-B95E-922C4297A18C}"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L$14">
                <xdr:nvSpPr>
                  <xdr:cNvPr id="392" name="Rectángulo 391">
                    <a:extLst>
                      <a:ext uri="{FF2B5EF4-FFF2-40B4-BE49-F238E27FC236}">
                        <a16:creationId xmlns:a16="http://schemas.microsoft.com/office/drawing/2014/main" id="{00000000-0008-0000-0800-000088010000}"/>
                      </a:ext>
                    </a:extLst>
                  </xdr:cNvPr>
                  <xdr:cNvSpPr/>
                </xdr:nvSpPr>
                <xdr:spPr>
                  <a:xfrm>
                    <a:off x="22128906" y="1386919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65CFD2-C7A5-43DB-A4D1-4D4E0F861A9A}" type="TxLink">
                      <a:rPr lang="en-US" sz="1100" b="1" i="0" u="none" strike="noStrike">
                        <a:solidFill>
                          <a:srgbClr val="FFFF00"/>
                        </a:solidFill>
                        <a:latin typeface="Century Gothic"/>
                      </a:rPr>
                      <a:pPr algn="ctr"/>
                      <a:t>8</a:t>
                    </a:fld>
                    <a:endParaRPr lang="es-CO" sz="1100" b="1">
                      <a:solidFill>
                        <a:srgbClr val="FFFF00"/>
                      </a:solidFill>
                    </a:endParaRPr>
                  </a:p>
                </xdr:txBody>
              </xdr:sp>
            </xdr:grpSp>
          </xdr:grpSp>
          <xdr:grpSp>
            <xdr:nvGrpSpPr>
              <xdr:cNvPr id="343" name="Grupo 342">
                <a:extLst>
                  <a:ext uri="{FF2B5EF4-FFF2-40B4-BE49-F238E27FC236}">
                    <a16:creationId xmlns:a16="http://schemas.microsoft.com/office/drawing/2014/main" id="{00000000-0008-0000-0800-000057010000}"/>
                  </a:ext>
                </a:extLst>
              </xdr:cNvPr>
              <xdr:cNvGrpSpPr/>
            </xdr:nvGrpSpPr>
            <xdr:grpSpPr>
              <a:xfrm>
                <a:off x="12841883" y="14055217"/>
                <a:ext cx="2157046" cy="732326"/>
                <a:chOff x="12841883" y="14055217"/>
                <a:chExt cx="2157046" cy="732326"/>
              </a:xfrm>
            </xdr:grpSpPr>
            <xdr:grpSp>
              <xdr:nvGrpSpPr>
                <xdr:cNvPr id="380" name="Grupo 379">
                  <a:extLst>
                    <a:ext uri="{FF2B5EF4-FFF2-40B4-BE49-F238E27FC236}">
                      <a16:creationId xmlns:a16="http://schemas.microsoft.com/office/drawing/2014/main" id="{00000000-0008-0000-0800-00007C010000}"/>
                    </a:ext>
                  </a:extLst>
                </xdr:cNvPr>
                <xdr:cNvGrpSpPr/>
              </xdr:nvGrpSpPr>
              <xdr:grpSpPr>
                <a:xfrm>
                  <a:off x="12841883" y="14055217"/>
                  <a:ext cx="2157046" cy="732326"/>
                  <a:chOff x="28670251" y="2081892"/>
                  <a:chExt cx="2000250" cy="585107"/>
                </a:xfrm>
              </xdr:grpSpPr>
              <xdr:sp macro="" textlink="">
                <xdr:nvSpPr>
                  <xdr:cNvPr id="385" name="Cheurón 384">
                    <a:extLst>
                      <a:ext uri="{FF2B5EF4-FFF2-40B4-BE49-F238E27FC236}">
                        <a16:creationId xmlns:a16="http://schemas.microsoft.com/office/drawing/2014/main" id="{00000000-0008-0000-0800-000081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86" name="CuadroTexto 385">
                    <a:extLst>
                      <a:ext uri="{FF2B5EF4-FFF2-40B4-BE49-F238E27FC236}">
                        <a16:creationId xmlns:a16="http://schemas.microsoft.com/office/drawing/2014/main" id="{00000000-0008-0000-0800-000082010000}"/>
                      </a:ext>
                    </a:extLst>
                  </xdr:cNvPr>
                  <xdr:cNvSpPr txBox="1"/>
                </xdr:nvSpPr>
                <xdr:spPr>
                  <a:xfrm>
                    <a:off x="28871628" y="2122198"/>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W$15">
                <xdr:nvSpPr>
                  <xdr:cNvPr id="387" name="Rectángulo redondeado 386">
                    <a:extLst>
                      <a:ext uri="{FF2B5EF4-FFF2-40B4-BE49-F238E27FC236}">
                        <a16:creationId xmlns:a16="http://schemas.microsoft.com/office/drawing/2014/main" id="{00000000-0008-0000-0800-000083010000}"/>
                      </a:ext>
                    </a:extLst>
                  </xdr:cNvPr>
                  <xdr:cNvSpPr/>
                </xdr:nvSpPr>
                <xdr:spPr>
                  <a:xfrm>
                    <a:off x="297865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A1C168-88C8-459E-8849-6F73DE447FBF}"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81" name="Grupo 380">
                  <a:extLst>
                    <a:ext uri="{FF2B5EF4-FFF2-40B4-BE49-F238E27FC236}">
                      <a16:creationId xmlns:a16="http://schemas.microsoft.com/office/drawing/2014/main" id="{00000000-0008-0000-0800-00007D010000}"/>
                    </a:ext>
                  </a:extLst>
                </xdr:cNvPr>
                <xdr:cNvGrpSpPr/>
              </xdr:nvGrpSpPr>
              <xdr:grpSpPr>
                <a:xfrm>
                  <a:off x="14016091" y="14508357"/>
                  <a:ext cx="828000" cy="275854"/>
                  <a:chOff x="14016091" y="14799434"/>
                  <a:chExt cx="828000" cy="275854"/>
                </a:xfrm>
              </xdr:grpSpPr>
              <xdr:sp macro="" textlink="$R$15">
                <xdr:nvSpPr>
                  <xdr:cNvPr id="382" name="Rectángulo 381">
                    <a:extLst>
                      <a:ext uri="{FF2B5EF4-FFF2-40B4-BE49-F238E27FC236}">
                        <a16:creationId xmlns:a16="http://schemas.microsoft.com/office/drawing/2014/main" id="{00000000-0008-0000-0800-00007E010000}"/>
                      </a:ext>
                    </a:extLst>
                  </xdr:cNvPr>
                  <xdr:cNvSpPr/>
                </xdr:nvSpPr>
                <xdr:spPr>
                  <a:xfrm>
                    <a:off x="14055428" y="1479943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ED91C-B6CD-44D6-9130-E8B591B5FF98}"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5">
                <xdr:nvSpPr>
                  <xdr:cNvPr id="383" name="Rectángulo 382">
                    <a:extLst>
                      <a:ext uri="{FF2B5EF4-FFF2-40B4-BE49-F238E27FC236}">
                        <a16:creationId xmlns:a16="http://schemas.microsoft.com/office/drawing/2014/main" id="{00000000-0008-0000-0800-00007F010000}"/>
                      </a:ext>
                    </a:extLst>
                  </xdr:cNvPr>
                  <xdr:cNvSpPr/>
                </xdr:nvSpPr>
                <xdr:spPr>
                  <a:xfrm>
                    <a:off x="14350083" y="1479943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B0C1589-6ECA-40BC-BCD9-6834BA099E6B}"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
                <xdr:nvSpPr>
                  <xdr:cNvPr id="384" name="CuadroTexto 383">
                    <a:extLst>
                      <a:ext uri="{FF2B5EF4-FFF2-40B4-BE49-F238E27FC236}">
                        <a16:creationId xmlns:a16="http://schemas.microsoft.com/office/drawing/2014/main" id="{00000000-0008-0000-0800-000080010000}"/>
                      </a:ext>
                    </a:extLst>
                  </xdr:cNvPr>
                  <xdr:cNvSpPr txBox="1"/>
                </xdr:nvSpPr>
                <xdr:spPr>
                  <a:xfrm>
                    <a:off x="14016091" y="14801370"/>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4" name="Grupo 343">
                <a:extLst>
                  <a:ext uri="{FF2B5EF4-FFF2-40B4-BE49-F238E27FC236}">
                    <a16:creationId xmlns:a16="http://schemas.microsoft.com/office/drawing/2014/main" id="{00000000-0008-0000-0800-000058010000}"/>
                  </a:ext>
                </a:extLst>
              </xdr:cNvPr>
              <xdr:cNvGrpSpPr/>
            </xdr:nvGrpSpPr>
            <xdr:grpSpPr>
              <a:xfrm>
                <a:off x="14801381" y="14057986"/>
                <a:ext cx="2179254" cy="732326"/>
                <a:chOff x="14801381" y="14057986"/>
                <a:chExt cx="2179254" cy="732326"/>
              </a:xfrm>
            </xdr:grpSpPr>
            <xdr:grpSp>
              <xdr:nvGrpSpPr>
                <xdr:cNvPr id="372" name="Grupo 371">
                  <a:extLst>
                    <a:ext uri="{FF2B5EF4-FFF2-40B4-BE49-F238E27FC236}">
                      <a16:creationId xmlns:a16="http://schemas.microsoft.com/office/drawing/2014/main" id="{00000000-0008-0000-0800-000074010000}"/>
                    </a:ext>
                  </a:extLst>
                </xdr:cNvPr>
                <xdr:cNvGrpSpPr/>
              </xdr:nvGrpSpPr>
              <xdr:grpSpPr>
                <a:xfrm>
                  <a:off x="14801381" y="14057986"/>
                  <a:ext cx="2179254" cy="732326"/>
                  <a:chOff x="28670251" y="2081892"/>
                  <a:chExt cx="2020842" cy="585107"/>
                </a:xfrm>
              </xdr:grpSpPr>
              <xdr:sp macro="" textlink="">
                <xdr:nvSpPr>
                  <xdr:cNvPr id="377" name="Cheurón 376">
                    <a:extLst>
                      <a:ext uri="{FF2B5EF4-FFF2-40B4-BE49-F238E27FC236}">
                        <a16:creationId xmlns:a16="http://schemas.microsoft.com/office/drawing/2014/main" id="{00000000-0008-0000-0800-000079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78" name="CuadroTexto 377">
                    <a:extLst>
                      <a:ext uri="{FF2B5EF4-FFF2-40B4-BE49-F238E27FC236}">
                        <a16:creationId xmlns:a16="http://schemas.microsoft.com/office/drawing/2014/main" id="{00000000-0008-0000-0800-00007A010000}"/>
                      </a:ext>
                    </a:extLst>
                  </xdr:cNvPr>
                  <xdr:cNvSpPr txBox="1"/>
                </xdr:nvSpPr>
                <xdr:spPr>
                  <a:xfrm>
                    <a:off x="28789521" y="2122198"/>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W$16">
                <xdr:nvSpPr>
                  <xdr:cNvPr id="379" name="Rectángulo redondeado 378">
                    <a:extLst>
                      <a:ext uri="{FF2B5EF4-FFF2-40B4-BE49-F238E27FC236}">
                        <a16:creationId xmlns:a16="http://schemas.microsoft.com/office/drawing/2014/main" id="{00000000-0008-0000-0800-00007B010000}"/>
                      </a:ext>
                    </a:extLst>
                  </xdr:cNvPr>
                  <xdr:cNvSpPr/>
                </xdr:nvSpPr>
                <xdr:spPr>
                  <a:xfrm>
                    <a:off x="29824320"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9FA8D55-379B-4C49-B68E-A496E4B8911F}"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73" name="Grupo 372">
                  <a:extLst>
                    <a:ext uri="{FF2B5EF4-FFF2-40B4-BE49-F238E27FC236}">
                      <a16:creationId xmlns:a16="http://schemas.microsoft.com/office/drawing/2014/main" id="{00000000-0008-0000-0800-000075010000}"/>
                    </a:ext>
                  </a:extLst>
                </xdr:cNvPr>
                <xdr:cNvGrpSpPr/>
              </xdr:nvGrpSpPr>
              <xdr:grpSpPr>
                <a:xfrm>
                  <a:off x="16010400" y="14508357"/>
                  <a:ext cx="828000" cy="275854"/>
                  <a:chOff x="16010400" y="14650231"/>
                  <a:chExt cx="828000" cy="275854"/>
                </a:xfrm>
              </xdr:grpSpPr>
              <xdr:sp macro="" textlink="$R$16">
                <xdr:nvSpPr>
                  <xdr:cNvPr id="374" name="Rectángulo 373">
                    <a:extLst>
                      <a:ext uri="{FF2B5EF4-FFF2-40B4-BE49-F238E27FC236}">
                        <a16:creationId xmlns:a16="http://schemas.microsoft.com/office/drawing/2014/main" id="{00000000-0008-0000-0800-000076010000}"/>
                      </a:ext>
                    </a:extLst>
                  </xdr:cNvPr>
                  <xdr:cNvSpPr/>
                </xdr:nvSpPr>
                <xdr:spPr>
                  <a:xfrm>
                    <a:off x="16067055" y="1465023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B01D163-6886-4DD9-8A59-D6B59F4B724F}"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6">
                <xdr:nvSpPr>
                  <xdr:cNvPr id="375" name="Rectángulo 374">
                    <a:extLst>
                      <a:ext uri="{FF2B5EF4-FFF2-40B4-BE49-F238E27FC236}">
                        <a16:creationId xmlns:a16="http://schemas.microsoft.com/office/drawing/2014/main" id="{00000000-0008-0000-0800-000077010000}"/>
                      </a:ext>
                    </a:extLst>
                  </xdr:cNvPr>
                  <xdr:cNvSpPr/>
                </xdr:nvSpPr>
                <xdr:spPr>
                  <a:xfrm>
                    <a:off x="16353051" y="1465023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63D6EBE-7451-4A5C-B0B7-1D5E485BA6EE}"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
                <xdr:nvSpPr>
                  <xdr:cNvPr id="376" name="CuadroTexto 375">
                    <a:extLst>
                      <a:ext uri="{FF2B5EF4-FFF2-40B4-BE49-F238E27FC236}">
                        <a16:creationId xmlns:a16="http://schemas.microsoft.com/office/drawing/2014/main" id="{00000000-0008-0000-0800-000078010000}"/>
                      </a:ext>
                    </a:extLst>
                  </xdr:cNvPr>
                  <xdr:cNvSpPr txBox="1"/>
                </xdr:nvSpPr>
                <xdr:spPr>
                  <a:xfrm>
                    <a:off x="16010400" y="14652167"/>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5" name="Grupo 344">
                <a:extLst>
                  <a:ext uri="{FF2B5EF4-FFF2-40B4-BE49-F238E27FC236}">
                    <a16:creationId xmlns:a16="http://schemas.microsoft.com/office/drawing/2014/main" id="{00000000-0008-0000-0800-000059010000}"/>
                  </a:ext>
                </a:extLst>
              </xdr:cNvPr>
              <xdr:cNvGrpSpPr/>
            </xdr:nvGrpSpPr>
            <xdr:grpSpPr>
              <a:xfrm>
                <a:off x="16747206" y="14046916"/>
                <a:ext cx="2192840" cy="737295"/>
                <a:chOff x="16747206" y="14046916"/>
                <a:chExt cx="2192840" cy="737295"/>
              </a:xfrm>
            </xdr:grpSpPr>
            <xdr:grpSp>
              <xdr:nvGrpSpPr>
                <xdr:cNvPr id="364" name="Grupo 363">
                  <a:extLst>
                    <a:ext uri="{FF2B5EF4-FFF2-40B4-BE49-F238E27FC236}">
                      <a16:creationId xmlns:a16="http://schemas.microsoft.com/office/drawing/2014/main" id="{00000000-0008-0000-0800-00006C010000}"/>
                    </a:ext>
                  </a:extLst>
                </xdr:cNvPr>
                <xdr:cNvGrpSpPr/>
              </xdr:nvGrpSpPr>
              <xdr:grpSpPr>
                <a:xfrm>
                  <a:off x="16747206" y="14046916"/>
                  <a:ext cx="2192840" cy="732326"/>
                  <a:chOff x="28670251" y="2081892"/>
                  <a:chExt cx="2033443" cy="585107"/>
                </a:xfrm>
              </xdr:grpSpPr>
              <xdr:sp macro="" textlink="">
                <xdr:nvSpPr>
                  <xdr:cNvPr id="369" name="Cheurón 368">
                    <a:extLst>
                      <a:ext uri="{FF2B5EF4-FFF2-40B4-BE49-F238E27FC236}">
                        <a16:creationId xmlns:a16="http://schemas.microsoft.com/office/drawing/2014/main" id="{00000000-0008-0000-0800-000071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70" name="CuadroTexto 369">
                    <a:extLst>
                      <a:ext uri="{FF2B5EF4-FFF2-40B4-BE49-F238E27FC236}">
                        <a16:creationId xmlns:a16="http://schemas.microsoft.com/office/drawing/2014/main" id="{00000000-0008-0000-0800-000072010000}"/>
                      </a:ext>
                    </a:extLst>
                  </xdr:cNvPr>
                  <xdr:cNvSpPr txBox="1"/>
                </xdr:nvSpPr>
                <xdr:spPr>
                  <a:xfrm>
                    <a:off x="28782494" y="2119420"/>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W$17">
                <xdr:nvSpPr>
                  <xdr:cNvPr id="371" name="Rectángulo redondeado 370">
                    <a:extLst>
                      <a:ext uri="{FF2B5EF4-FFF2-40B4-BE49-F238E27FC236}">
                        <a16:creationId xmlns:a16="http://schemas.microsoft.com/office/drawing/2014/main" id="{00000000-0008-0000-0800-000073010000}"/>
                      </a:ext>
                    </a:extLst>
                  </xdr:cNvPr>
                  <xdr:cNvSpPr/>
                </xdr:nvSpPr>
                <xdr:spPr>
                  <a:xfrm>
                    <a:off x="2983691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2E04FA-BB20-4632-880E-9FB7A7D3FB9D}"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65" name="Grupo 364">
                  <a:extLst>
                    <a:ext uri="{FF2B5EF4-FFF2-40B4-BE49-F238E27FC236}">
                      <a16:creationId xmlns:a16="http://schemas.microsoft.com/office/drawing/2014/main" id="{00000000-0008-0000-0800-00006D010000}"/>
                    </a:ext>
                  </a:extLst>
                </xdr:cNvPr>
                <xdr:cNvGrpSpPr/>
              </xdr:nvGrpSpPr>
              <xdr:grpSpPr>
                <a:xfrm>
                  <a:off x="17963890" y="14508357"/>
                  <a:ext cx="828000" cy="275854"/>
                  <a:chOff x="17963890" y="14651593"/>
                  <a:chExt cx="828000" cy="275854"/>
                </a:xfrm>
              </xdr:grpSpPr>
              <xdr:sp macro="" textlink="$R$17">
                <xdr:nvSpPr>
                  <xdr:cNvPr id="366" name="Rectángulo 365">
                    <a:extLst>
                      <a:ext uri="{FF2B5EF4-FFF2-40B4-BE49-F238E27FC236}">
                        <a16:creationId xmlns:a16="http://schemas.microsoft.com/office/drawing/2014/main" id="{00000000-0008-0000-0800-00006E010000}"/>
                      </a:ext>
                    </a:extLst>
                  </xdr:cNvPr>
                  <xdr:cNvSpPr/>
                </xdr:nvSpPr>
                <xdr:spPr>
                  <a:xfrm>
                    <a:off x="18029204" y="1465159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F8BEB68E-5A2B-4C42-9408-B7C44874AC7D}"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7">
                <xdr:nvSpPr>
                  <xdr:cNvPr id="367" name="Rectángulo 366">
                    <a:extLst>
                      <a:ext uri="{FF2B5EF4-FFF2-40B4-BE49-F238E27FC236}">
                        <a16:creationId xmlns:a16="http://schemas.microsoft.com/office/drawing/2014/main" id="{00000000-0008-0000-0800-00006F010000}"/>
                      </a:ext>
                    </a:extLst>
                  </xdr:cNvPr>
                  <xdr:cNvSpPr/>
                </xdr:nvSpPr>
                <xdr:spPr>
                  <a:xfrm>
                    <a:off x="18315200" y="1465159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824BE72-C060-4699-A288-57BF987A9F22}" type="TxLink">
                      <a:rPr lang="en-US" sz="1100" b="1" i="0" u="none" strike="noStrike">
                        <a:solidFill>
                          <a:srgbClr val="FFFF00"/>
                        </a:solidFill>
                        <a:latin typeface="Century Gothic"/>
                      </a:rPr>
                      <a:pPr algn="ctr"/>
                      <a:t>14</a:t>
                    </a:fld>
                    <a:endParaRPr lang="es-CO" sz="1100" b="1">
                      <a:solidFill>
                        <a:srgbClr val="FFFF00"/>
                      </a:solidFill>
                    </a:endParaRPr>
                  </a:p>
                </xdr:txBody>
              </xdr:sp>
              <xdr:sp macro="" textlink="">
                <xdr:nvSpPr>
                  <xdr:cNvPr id="368" name="CuadroTexto 367">
                    <a:extLst>
                      <a:ext uri="{FF2B5EF4-FFF2-40B4-BE49-F238E27FC236}">
                        <a16:creationId xmlns:a16="http://schemas.microsoft.com/office/drawing/2014/main" id="{00000000-0008-0000-0800-000070010000}"/>
                      </a:ext>
                    </a:extLst>
                  </xdr:cNvPr>
                  <xdr:cNvSpPr txBox="1"/>
                </xdr:nvSpPr>
                <xdr:spPr>
                  <a:xfrm>
                    <a:off x="17963890" y="14653529"/>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6" name="Grupo 345">
                <a:extLst>
                  <a:ext uri="{FF2B5EF4-FFF2-40B4-BE49-F238E27FC236}">
                    <a16:creationId xmlns:a16="http://schemas.microsoft.com/office/drawing/2014/main" id="{00000000-0008-0000-0800-00005A010000}"/>
                  </a:ext>
                </a:extLst>
              </xdr:cNvPr>
              <xdr:cNvGrpSpPr/>
            </xdr:nvGrpSpPr>
            <xdr:grpSpPr>
              <a:xfrm>
                <a:off x="18693068" y="14049686"/>
                <a:ext cx="2126570" cy="734525"/>
                <a:chOff x="18693068" y="14049686"/>
                <a:chExt cx="2126570" cy="734525"/>
              </a:xfrm>
            </xdr:grpSpPr>
            <xdr:grpSp>
              <xdr:nvGrpSpPr>
                <xdr:cNvPr id="356" name="Grupo 355">
                  <a:extLst>
                    <a:ext uri="{FF2B5EF4-FFF2-40B4-BE49-F238E27FC236}">
                      <a16:creationId xmlns:a16="http://schemas.microsoft.com/office/drawing/2014/main" id="{00000000-0008-0000-0800-000064010000}"/>
                    </a:ext>
                  </a:extLst>
                </xdr:cNvPr>
                <xdr:cNvGrpSpPr/>
              </xdr:nvGrpSpPr>
              <xdr:grpSpPr>
                <a:xfrm>
                  <a:off x="18693068" y="14049686"/>
                  <a:ext cx="2126570" cy="732326"/>
                  <a:chOff x="28670251" y="2081892"/>
                  <a:chExt cx="2012232" cy="585107"/>
                </a:xfrm>
              </xdr:grpSpPr>
              <xdr:sp macro="" textlink="">
                <xdr:nvSpPr>
                  <xdr:cNvPr id="361" name="Cheurón 360">
                    <a:extLst>
                      <a:ext uri="{FF2B5EF4-FFF2-40B4-BE49-F238E27FC236}">
                        <a16:creationId xmlns:a16="http://schemas.microsoft.com/office/drawing/2014/main" id="{00000000-0008-0000-0800-000069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62" name="CuadroTexto 361">
                    <a:extLst>
                      <a:ext uri="{FF2B5EF4-FFF2-40B4-BE49-F238E27FC236}">
                        <a16:creationId xmlns:a16="http://schemas.microsoft.com/office/drawing/2014/main" id="{00000000-0008-0000-0800-00006A010000}"/>
                      </a:ext>
                    </a:extLst>
                  </xdr:cNvPr>
                  <xdr:cNvSpPr txBox="1"/>
                </xdr:nvSpPr>
                <xdr:spPr>
                  <a:xfrm>
                    <a:off x="28911076" y="2122198"/>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W$18">
                <xdr:nvSpPr>
                  <xdr:cNvPr id="363" name="Rectángulo redondeado 362">
                    <a:extLst>
                      <a:ext uri="{FF2B5EF4-FFF2-40B4-BE49-F238E27FC236}">
                        <a16:creationId xmlns:a16="http://schemas.microsoft.com/office/drawing/2014/main" id="{00000000-0008-0000-0800-00006B010000}"/>
                      </a:ext>
                    </a:extLst>
                  </xdr:cNvPr>
                  <xdr:cNvSpPr/>
                </xdr:nvSpPr>
                <xdr:spPr>
                  <a:xfrm>
                    <a:off x="29798021"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99FF71C-5B37-4321-A343-0DDDEBF3C1F3}" type="TxLink">
                      <a:rPr lang="en-US" sz="1600" b="1" i="0" u="none" strike="noStrike">
                        <a:solidFill>
                          <a:srgbClr val="FFFF00"/>
                        </a:solidFill>
                        <a:latin typeface="Century Gothic"/>
                      </a:rPr>
                      <a:pPr algn="ctr"/>
                      <a:t>66,7%</a:t>
                    </a:fld>
                    <a:endParaRPr lang="es-CO" sz="2400">
                      <a:solidFill>
                        <a:srgbClr val="FFFF00"/>
                      </a:solidFill>
                    </a:endParaRPr>
                  </a:p>
                </xdr:txBody>
              </xdr:sp>
            </xdr:grpSp>
            <xdr:grpSp>
              <xdr:nvGrpSpPr>
                <xdr:cNvPr id="357" name="Grupo 356">
                  <a:extLst>
                    <a:ext uri="{FF2B5EF4-FFF2-40B4-BE49-F238E27FC236}">
                      <a16:creationId xmlns:a16="http://schemas.microsoft.com/office/drawing/2014/main" id="{00000000-0008-0000-0800-000065010000}"/>
                    </a:ext>
                  </a:extLst>
                </xdr:cNvPr>
                <xdr:cNvGrpSpPr/>
              </xdr:nvGrpSpPr>
              <xdr:grpSpPr>
                <a:xfrm>
                  <a:off x="19859234" y="14508357"/>
                  <a:ext cx="825525" cy="275854"/>
                  <a:chOff x="19893870" y="14659758"/>
                  <a:chExt cx="825525" cy="275854"/>
                </a:xfrm>
              </xdr:grpSpPr>
              <xdr:sp macro="" textlink="">
                <xdr:nvSpPr>
                  <xdr:cNvPr id="358" name="CuadroTexto 357">
                    <a:extLst>
                      <a:ext uri="{FF2B5EF4-FFF2-40B4-BE49-F238E27FC236}">
                        <a16:creationId xmlns:a16="http://schemas.microsoft.com/office/drawing/2014/main" id="{00000000-0008-0000-0800-000066010000}"/>
                      </a:ext>
                    </a:extLst>
                  </xdr:cNvPr>
                  <xdr:cNvSpPr txBox="1"/>
                </xdr:nvSpPr>
                <xdr:spPr>
                  <a:xfrm>
                    <a:off x="19893870" y="14661694"/>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18">
                <xdr:nvSpPr>
                  <xdr:cNvPr id="359" name="Rectángulo 358">
                    <a:extLst>
                      <a:ext uri="{FF2B5EF4-FFF2-40B4-BE49-F238E27FC236}">
                        <a16:creationId xmlns:a16="http://schemas.microsoft.com/office/drawing/2014/main" id="{00000000-0008-0000-0800-000067010000}"/>
                      </a:ext>
                    </a:extLst>
                  </xdr:cNvPr>
                  <xdr:cNvSpPr/>
                </xdr:nvSpPr>
                <xdr:spPr>
                  <a:xfrm>
                    <a:off x="19955234" y="14659758"/>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9625F8A-E3FE-400D-A5B7-3FBCB4F94F11}"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L$18">
                <xdr:nvSpPr>
                  <xdr:cNvPr id="360" name="Rectángulo 359">
                    <a:extLst>
                      <a:ext uri="{FF2B5EF4-FFF2-40B4-BE49-F238E27FC236}">
                        <a16:creationId xmlns:a16="http://schemas.microsoft.com/office/drawing/2014/main" id="{00000000-0008-0000-0800-000068010000}"/>
                      </a:ext>
                    </a:extLst>
                  </xdr:cNvPr>
                  <xdr:cNvSpPr/>
                </xdr:nvSpPr>
                <xdr:spPr>
                  <a:xfrm>
                    <a:off x="20241230" y="14659758"/>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648831B-91EC-4BC9-951A-D69FBE88BAC8}" type="TxLink">
                      <a:rPr lang="en-US" sz="1100" b="1" i="0" u="none" strike="noStrike">
                        <a:solidFill>
                          <a:srgbClr val="FFFF00"/>
                        </a:solidFill>
                        <a:latin typeface="Century Gothic"/>
                      </a:rPr>
                      <a:pPr algn="ctr"/>
                      <a:t>6</a:t>
                    </a:fld>
                    <a:endParaRPr lang="es-CO" sz="1100" b="1">
                      <a:solidFill>
                        <a:srgbClr val="FFFF00"/>
                      </a:solidFill>
                    </a:endParaRPr>
                  </a:p>
                </xdr:txBody>
              </xdr:sp>
            </xdr:grpSp>
          </xdr:grpSp>
          <xdr:grpSp>
            <xdr:nvGrpSpPr>
              <xdr:cNvPr id="347" name="Grupo 346">
                <a:extLst>
                  <a:ext uri="{FF2B5EF4-FFF2-40B4-BE49-F238E27FC236}">
                    <a16:creationId xmlns:a16="http://schemas.microsoft.com/office/drawing/2014/main" id="{00000000-0008-0000-0800-00005B010000}"/>
                  </a:ext>
                </a:extLst>
              </xdr:cNvPr>
              <xdr:cNvGrpSpPr/>
            </xdr:nvGrpSpPr>
            <xdr:grpSpPr>
              <a:xfrm>
                <a:off x="20598180" y="14052454"/>
                <a:ext cx="2113907" cy="732326"/>
                <a:chOff x="20598180" y="14052454"/>
                <a:chExt cx="2113907" cy="732326"/>
              </a:xfrm>
            </xdr:grpSpPr>
            <xdr:grpSp>
              <xdr:nvGrpSpPr>
                <xdr:cNvPr id="348" name="Grupo 347">
                  <a:extLst>
                    <a:ext uri="{FF2B5EF4-FFF2-40B4-BE49-F238E27FC236}">
                      <a16:creationId xmlns:a16="http://schemas.microsoft.com/office/drawing/2014/main" id="{00000000-0008-0000-0800-00005C010000}"/>
                    </a:ext>
                  </a:extLst>
                </xdr:cNvPr>
                <xdr:cNvGrpSpPr/>
              </xdr:nvGrpSpPr>
              <xdr:grpSpPr>
                <a:xfrm>
                  <a:off x="20598180" y="14052454"/>
                  <a:ext cx="2113907" cy="732326"/>
                  <a:chOff x="28670251" y="2081892"/>
                  <a:chExt cx="2000250" cy="585107"/>
                </a:xfrm>
              </xdr:grpSpPr>
              <xdr:sp macro="" textlink="">
                <xdr:nvSpPr>
                  <xdr:cNvPr id="353" name="Cheurón 352">
                    <a:extLst>
                      <a:ext uri="{FF2B5EF4-FFF2-40B4-BE49-F238E27FC236}">
                        <a16:creationId xmlns:a16="http://schemas.microsoft.com/office/drawing/2014/main" id="{00000000-0008-0000-0800-000061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54" name="CuadroTexto 353">
                    <a:extLst>
                      <a:ext uri="{FF2B5EF4-FFF2-40B4-BE49-F238E27FC236}">
                        <a16:creationId xmlns:a16="http://schemas.microsoft.com/office/drawing/2014/main" id="{00000000-0008-0000-0800-000062010000}"/>
                      </a:ext>
                    </a:extLst>
                  </xdr:cNvPr>
                  <xdr:cNvSpPr txBox="1"/>
                </xdr:nvSpPr>
                <xdr:spPr>
                  <a:xfrm>
                    <a:off x="28842462"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W$19">
                <xdr:nvSpPr>
                  <xdr:cNvPr id="355" name="Rectángulo redondeado 354">
                    <a:extLst>
                      <a:ext uri="{FF2B5EF4-FFF2-40B4-BE49-F238E27FC236}">
                        <a16:creationId xmlns:a16="http://schemas.microsoft.com/office/drawing/2014/main" id="{00000000-0008-0000-0800-000063010000}"/>
                      </a:ext>
                    </a:extLst>
                  </xdr:cNvPr>
                  <xdr:cNvSpPr/>
                </xdr:nvSpPr>
                <xdr:spPr>
                  <a:xfrm>
                    <a:off x="29798022" y="2157577"/>
                    <a:ext cx="85044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FB7C1F-F51F-437F-90E9-0A6690DA48D6}"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49" name="Grupo 348">
                  <a:extLst>
                    <a:ext uri="{FF2B5EF4-FFF2-40B4-BE49-F238E27FC236}">
                      <a16:creationId xmlns:a16="http://schemas.microsoft.com/office/drawing/2014/main" id="{00000000-0008-0000-0800-00005D010000}"/>
                    </a:ext>
                  </a:extLst>
                </xdr:cNvPr>
                <xdr:cNvGrpSpPr/>
              </xdr:nvGrpSpPr>
              <xdr:grpSpPr>
                <a:xfrm>
                  <a:off x="21778084" y="14508357"/>
                  <a:ext cx="825525" cy="275854"/>
                  <a:chOff x="21778084" y="14662356"/>
                  <a:chExt cx="825525" cy="275854"/>
                </a:xfrm>
              </xdr:grpSpPr>
              <xdr:sp macro="" textlink="">
                <xdr:nvSpPr>
                  <xdr:cNvPr id="350" name="CuadroTexto 349">
                    <a:extLst>
                      <a:ext uri="{FF2B5EF4-FFF2-40B4-BE49-F238E27FC236}">
                        <a16:creationId xmlns:a16="http://schemas.microsoft.com/office/drawing/2014/main" id="{00000000-0008-0000-0800-00005E010000}"/>
                      </a:ext>
                    </a:extLst>
                  </xdr:cNvPr>
                  <xdr:cNvSpPr txBox="1"/>
                </xdr:nvSpPr>
                <xdr:spPr>
                  <a:xfrm>
                    <a:off x="21778084" y="1466429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19">
                <xdr:nvSpPr>
                  <xdr:cNvPr id="351" name="Rectángulo 350">
                    <a:extLst>
                      <a:ext uri="{FF2B5EF4-FFF2-40B4-BE49-F238E27FC236}">
                        <a16:creationId xmlns:a16="http://schemas.microsoft.com/office/drawing/2014/main" id="{00000000-0008-0000-0800-00005F010000}"/>
                      </a:ext>
                    </a:extLst>
                  </xdr:cNvPr>
                  <xdr:cNvSpPr/>
                </xdr:nvSpPr>
                <xdr:spPr>
                  <a:xfrm>
                    <a:off x="21830789" y="1466235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3A16E2B-1C51-4627-AE6C-FC3504698EE4}"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9">
                <xdr:nvSpPr>
                  <xdr:cNvPr id="352" name="Rectángulo 351">
                    <a:extLst>
                      <a:ext uri="{FF2B5EF4-FFF2-40B4-BE49-F238E27FC236}">
                        <a16:creationId xmlns:a16="http://schemas.microsoft.com/office/drawing/2014/main" id="{00000000-0008-0000-0800-000060010000}"/>
                      </a:ext>
                    </a:extLst>
                  </xdr:cNvPr>
                  <xdr:cNvSpPr/>
                </xdr:nvSpPr>
                <xdr:spPr>
                  <a:xfrm>
                    <a:off x="22116785" y="1466235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3A018066-334A-4025-B06E-328DF615518E}" type="TxLink">
                      <a:rPr lang="en-US" sz="1100" b="1" i="0" u="none" strike="noStrike">
                        <a:solidFill>
                          <a:srgbClr val="FFFF00"/>
                        </a:solidFill>
                        <a:latin typeface="Century Gothic"/>
                      </a:rPr>
                      <a:pPr algn="ctr"/>
                      <a:t>3</a:t>
                    </a:fld>
                    <a:endParaRPr lang="es-CO" sz="1100" b="1">
                      <a:solidFill>
                        <a:srgbClr val="FFFF00"/>
                      </a:solidFill>
                    </a:endParaRPr>
                  </a:p>
                </xdr:txBody>
              </xdr:sp>
            </xdr:grpSp>
          </xdr:grpSp>
        </xdr:grpSp>
        <xdr:grpSp>
          <xdr:nvGrpSpPr>
            <xdr:cNvPr id="246" name="Grupo 245">
              <a:extLst>
                <a:ext uri="{FF2B5EF4-FFF2-40B4-BE49-F238E27FC236}">
                  <a16:creationId xmlns:a16="http://schemas.microsoft.com/office/drawing/2014/main" id="{00000000-0008-0000-0800-0000F6000000}"/>
                </a:ext>
              </a:extLst>
            </xdr:cNvPr>
            <xdr:cNvGrpSpPr/>
          </xdr:nvGrpSpPr>
          <xdr:grpSpPr>
            <a:xfrm>
              <a:off x="12023189" y="15669185"/>
              <a:ext cx="6951194" cy="1653631"/>
              <a:chOff x="11988224" y="16761025"/>
              <a:chExt cx="6931533" cy="1640037"/>
            </a:xfrm>
          </xdr:grpSpPr>
          <xdr:grpSp>
            <xdr:nvGrpSpPr>
              <xdr:cNvPr id="324" name="Grupo 323">
                <a:extLst>
                  <a:ext uri="{FF2B5EF4-FFF2-40B4-BE49-F238E27FC236}">
                    <a16:creationId xmlns:a16="http://schemas.microsoft.com/office/drawing/2014/main" id="{00000000-0008-0000-0800-000044010000}"/>
                  </a:ext>
                </a:extLst>
              </xdr:cNvPr>
              <xdr:cNvGrpSpPr/>
            </xdr:nvGrpSpPr>
            <xdr:grpSpPr>
              <a:xfrm>
                <a:off x="11988224" y="16761025"/>
                <a:ext cx="719623" cy="1640037"/>
                <a:chOff x="27415385" y="8406495"/>
                <a:chExt cx="720130" cy="1610348"/>
              </a:xfrm>
            </xdr:grpSpPr>
            <xdr:sp macro="" textlink="">
              <xdr:nvSpPr>
                <xdr:cNvPr id="335" name="Rectángulo 334">
                  <a:extLst>
                    <a:ext uri="{FF2B5EF4-FFF2-40B4-BE49-F238E27FC236}">
                      <a16:creationId xmlns:a16="http://schemas.microsoft.com/office/drawing/2014/main" id="{00000000-0008-0000-0800-00004F010000}"/>
                    </a:ext>
                  </a:extLst>
                </xdr:cNvPr>
                <xdr:cNvSpPr/>
              </xdr:nvSpPr>
              <xdr:spPr>
                <a:xfrm>
                  <a:off x="27415385" y="8504462"/>
                  <a:ext cx="720130"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36" name="CuadroTexto 335">
                  <a:extLst>
                    <a:ext uri="{FF2B5EF4-FFF2-40B4-BE49-F238E27FC236}">
                      <a16:creationId xmlns:a16="http://schemas.microsoft.com/office/drawing/2014/main" id="{00000000-0008-0000-0800-000050010000}"/>
                    </a:ext>
                  </a:extLst>
                </xdr:cNvPr>
                <xdr:cNvSpPr txBox="1"/>
              </xdr:nvSpPr>
              <xdr:spPr>
                <a:xfrm rot="16200000">
                  <a:off x="26970019"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325" name="Flecha abajo 324">
                <a:extLst>
                  <a:ext uri="{FF2B5EF4-FFF2-40B4-BE49-F238E27FC236}">
                    <a16:creationId xmlns:a16="http://schemas.microsoft.com/office/drawing/2014/main" id="{00000000-0008-0000-0800-000045010000}"/>
                  </a:ext>
                </a:extLst>
              </xdr:cNvPr>
              <xdr:cNvSpPr/>
            </xdr:nvSpPr>
            <xdr:spPr>
              <a:xfrm rot="10800000">
                <a:off x="17373214" y="16880679"/>
                <a:ext cx="467671" cy="293310"/>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26" name="Grupo 325">
                <a:extLst>
                  <a:ext uri="{FF2B5EF4-FFF2-40B4-BE49-F238E27FC236}">
                    <a16:creationId xmlns:a16="http://schemas.microsoft.com/office/drawing/2014/main" id="{00000000-0008-0000-0800-000046010000}"/>
                  </a:ext>
                </a:extLst>
              </xdr:cNvPr>
              <xdr:cNvGrpSpPr/>
            </xdr:nvGrpSpPr>
            <xdr:grpSpPr>
              <a:xfrm>
                <a:off x="16761275" y="17298378"/>
                <a:ext cx="2158482" cy="736372"/>
                <a:chOff x="16761275" y="17298378"/>
                <a:chExt cx="2158482" cy="736372"/>
              </a:xfrm>
            </xdr:grpSpPr>
            <xdr:grpSp>
              <xdr:nvGrpSpPr>
                <xdr:cNvPr id="327" name="Grupo 326">
                  <a:extLst>
                    <a:ext uri="{FF2B5EF4-FFF2-40B4-BE49-F238E27FC236}">
                      <a16:creationId xmlns:a16="http://schemas.microsoft.com/office/drawing/2014/main" id="{00000000-0008-0000-0800-000047010000}"/>
                    </a:ext>
                  </a:extLst>
                </xdr:cNvPr>
                <xdr:cNvGrpSpPr/>
              </xdr:nvGrpSpPr>
              <xdr:grpSpPr>
                <a:xfrm>
                  <a:off x="16761275" y="17298378"/>
                  <a:ext cx="2158482" cy="736372"/>
                  <a:chOff x="28351843" y="12455641"/>
                  <a:chExt cx="2160000" cy="723042"/>
                </a:xfrm>
              </xdr:grpSpPr>
              <xdr:sp macro="" textlink="">
                <xdr:nvSpPr>
                  <xdr:cNvPr id="332" name="Cheurón 331">
                    <a:extLst>
                      <a:ext uri="{FF2B5EF4-FFF2-40B4-BE49-F238E27FC236}">
                        <a16:creationId xmlns:a16="http://schemas.microsoft.com/office/drawing/2014/main" id="{00000000-0008-0000-0800-00004C01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33" name="CuadroTexto 332">
                    <a:extLst>
                      <a:ext uri="{FF2B5EF4-FFF2-40B4-BE49-F238E27FC236}">
                        <a16:creationId xmlns:a16="http://schemas.microsoft.com/office/drawing/2014/main" id="{00000000-0008-0000-0800-00004D010000}"/>
                      </a:ext>
                    </a:extLst>
                  </xdr:cNvPr>
                  <xdr:cNvSpPr txBox="1"/>
                </xdr:nvSpPr>
                <xdr:spPr>
                  <a:xfrm>
                    <a:off x="28448411" y="12455641"/>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W$28">
                <xdr:nvSpPr>
                  <xdr:cNvPr id="334" name="Rectángulo redondeado 333">
                    <a:extLst>
                      <a:ext uri="{FF2B5EF4-FFF2-40B4-BE49-F238E27FC236}">
                        <a16:creationId xmlns:a16="http://schemas.microsoft.com/office/drawing/2014/main" id="{00000000-0008-0000-0800-00004E010000}"/>
                      </a:ext>
                    </a:extLst>
                  </xdr:cNvPr>
                  <xdr:cNvSpPr/>
                </xdr:nvSpPr>
                <xdr:spPr>
                  <a:xfrm>
                    <a:off x="29530050" y="12556922"/>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5B844AB-9ACB-41A6-9DAE-73EF6EAC849D}" type="TxLink">
                      <a:rPr lang="en-US" sz="1600" b="1" i="0" u="none" strike="noStrike">
                        <a:solidFill>
                          <a:srgbClr val="000000"/>
                        </a:solidFill>
                        <a:latin typeface="Century Gothic"/>
                      </a:rPr>
                      <a:pPr algn="ctr"/>
                      <a:t>-</a:t>
                    </a:fld>
                    <a:endParaRPr lang="es-CO" sz="5400">
                      <a:solidFill>
                        <a:schemeClr val="tx1">
                          <a:lumMod val="95000"/>
                          <a:lumOff val="5000"/>
                        </a:schemeClr>
                      </a:solidFill>
                    </a:endParaRPr>
                  </a:p>
                </xdr:txBody>
              </xdr:sp>
            </xdr:grpSp>
            <xdr:grpSp>
              <xdr:nvGrpSpPr>
                <xdr:cNvPr id="328" name="Grupo 327">
                  <a:extLst>
                    <a:ext uri="{FF2B5EF4-FFF2-40B4-BE49-F238E27FC236}">
                      <a16:creationId xmlns:a16="http://schemas.microsoft.com/office/drawing/2014/main" id="{00000000-0008-0000-0800-000048010000}"/>
                    </a:ext>
                  </a:extLst>
                </xdr:cNvPr>
                <xdr:cNvGrpSpPr/>
              </xdr:nvGrpSpPr>
              <xdr:grpSpPr>
                <a:xfrm>
                  <a:off x="17936902" y="17738133"/>
                  <a:ext cx="825525" cy="275854"/>
                  <a:chOff x="17936902" y="17919972"/>
                  <a:chExt cx="825525" cy="275854"/>
                </a:xfrm>
              </xdr:grpSpPr>
              <xdr:sp macro="" textlink="">
                <xdr:nvSpPr>
                  <xdr:cNvPr id="329" name="CuadroTexto 328">
                    <a:extLst>
                      <a:ext uri="{FF2B5EF4-FFF2-40B4-BE49-F238E27FC236}">
                        <a16:creationId xmlns:a16="http://schemas.microsoft.com/office/drawing/2014/main" id="{00000000-0008-0000-0800-000049010000}"/>
                      </a:ext>
                    </a:extLst>
                  </xdr:cNvPr>
                  <xdr:cNvSpPr txBox="1"/>
                </xdr:nvSpPr>
                <xdr:spPr>
                  <a:xfrm>
                    <a:off x="17936902" y="1792190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chemeClr val="tx1">
                            <a:lumMod val="95000"/>
                            <a:lumOff val="5000"/>
                          </a:schemeClr>
                        </a:solidFill>
                        <a:latin typeface="Century Gothic" panose="020B0502020202020204" pitchFamily="34" charset="0"/>
                      </a:rPr>
                      <a:t>(</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  </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a:t>
                    </a:r>
                  </a:p>
                </xdr:txBody>
              </xdr:sp>
              <xdr:sp macro="" textlink="$R$28">
                <xdr:nvSpPr>
                  <xdr:cNvPr id="330" name="Rectángulo 329">
                    <a:extLst>
                      <a:ext uri="{FF2B5EF4-FFF2-40B4-BE49-F238E27FC236}">
                        <a16:creationId xmlns:a16="http://schemas.microsoft.com/office/drawing/2014/main" id="{00000000-0008-0000-0800-00004A010000}"/>
                      </a:ext>
                    </a:extLst>
                  </xdr:cNvPr>
                  <xdr:cNvSpPr/>
                </xdr:nvSpPr>
                <xdr:spPr>
                  <a:xfrm>
                    <a:off x="17989607" y="1791997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4D1A9E-5A82-4160-8A7B-468AADD86656}" type="TxLink">
                      <a:rPr lang="en-US" sz="1100" b="1" i="0" u="none" strike="noStrike">
                        <a:solidFill>
                          <a:schemeClr val="tx1">
                            <a:lumMod val="95000"/>
                            <a:lumOff val="5000"/>
                          </a:schemeClr>
                        </a:solidFill>
                        <a:latin typeface="Century Gothic"/>
                      </a:rPr>
                      <a:pPr algn="ctr"/>
                      <a:t>-</a:t>
                    </a:fld>
                    <a:endParaRPr lang="es-CO" sz="1100" b="1">
                      <a:solidFill>
                        <a:schemeClr val="tx1">
                          <a:lumMod val="95000"/>
                          <a:lumOff val="5000"/>
                        </a:schemeClr>
                      </a:solidFill>
                    </a:endParaRPr>
                  </a:p>
                </xdr:txBody>
              </xdr:sp>
              <xdr:sp macro="" textlink="$L$28">
                <xdr:nvSpPr>
                  <xdr:cNvPr id="331" name="Rectángulo 330">
                    <a:extLst>
                      <a:ext uri="{FF2B5EF4-FFF2-40B4-BE49-F238E27FC236}">
                        <a16:creationId xmlns:a16="http://schemas.microsoft.com/office/drawing/2014/main" id="{00000000-0008-0000-0800-00004B010000}"/>
                      </a:ext>
                    </a:extLst>
                  </xdr:cNvPr>
                  <xdr:cNvSpPr/>
                </xdr:nvSpPr>
                <xdr:spPr>
                  <a:xfrm>
                    <a:off x="18275603" y="1791997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AA13C1-E294-4B8C-BEFF-DC806D88A057}" type="TxLink">
                      <a:rPr lang="en-US" sz="1100" b="1" i="0" u="none" strike="noStrike">
                        <a:solidFill>
                          <a:schemeClr val="tx1">
                            <a:lumMod val="95000"/>
                            <a:lumOff val="5000"/>
                          </a:schemeClr>
                        </a:solidFill>
                        <a:latin typeface="Century Gothic"/>
                      </a:rPr>
                      <a:pPr algn="ctr"/>
                      <a:t>-</a:t>
                    </a:fld>
                    <a:endParaRPr lang="es-CO" sz="1100" b="1">
                      <a:solidFill>
                        <a:schemeClr val="tx1">
                          <a:lumMod val="95000"/>
                          <a:lumOff val="5000"/>
                        </a:schemeClr>
                      </a:solidFill>
                    </a:endParaRPr>
                  </a:p>
                </xdr:txBody>
              </xdr:sp>
            </xdr:grpSp>
          </xdr:grpSp>
        </xdr:grpSp>
        <xdr:grpSp>
          <xdr:nvGrpSpPr>
            <xdr:cNvPr id="247" name="Grupo 246">
              <a:extLst>
                <a:ext uri="{FF2B5EF4-FFF2-40B4-BE49-F238E27FC236}">
                  <a16:creationId xmlns:a16="http://schemas.microsoft.com/office/drawing/2014/main" id="{00000000-0008-0000-0800-0000F7000000}"/>
                </a:ext>
              </a:extLst>
            </xdr:cNvPr>
            <xdr:cNvGrpSpPr/>
          </xdr:nvGrpSpPr>
          <xdr:grpSpPr>
            <a:xfrm>
              <a:off x="12034121" y="13753606"/>
              <a:ext cx="10833033" cy="1945018"/>
              <a:chOff x="12034121" y="13753606"/>
              <a:chExt cx="10833033" cy="1945018"/>
            </a:xfrm>
          </xdr:grpSpPr>
          <xdr:grpSp>
            <xdr:nvGrpSpPr>
              <xdr:cNvPr id="248" name="Grupo 247">
                <a:extLst>
                  <a:ext uri="{FF2B5EF4-FFF2-40B4-BE49-F238E27FC236}">
                    <a16:creationId xmlns:a16="http://schemas.microsoft.com/office/drawing/2014/main" id="{00000000-0008-0000-0800-0000F8000000}"/>
                  </a:ext>
                </a:extLst>
              </xdr:cNvPr>
              <xdr:cNvGrpSpPr/>
            </xdr:nvGrpSpPr>
            <xdr:grpSpPr>
              <a:xfrm>
                <a:off x="16784752" y="14895774"/>
                <a:ext cx="2158192" cy="744715"/>
                <a:chOff x="16755119" y="14887307"/>
                <a:chExt cx="2158192" cy="753182"/>
              </a:xfrm>
            </xdr:grpSpPr>
            <xdr:grpSp>
              <xdr:nvGrpSpPr>
                <xdr:cNvPr id="316" name="Grupo 315">
                  <a:extLst>
                    <a:ext uri="{FF2B5EF4-FFF2-40B4-BE49-F238E27FC236}">
                      <a16:creationId xmlns:a16="http://schemas.microsoft.com/office/drawing/2014/main" id="{00000000-0008-0000-0800-00003C010000}"/>
                    </a:ext>
                  </a:extLst>
                </xdr:cNvPr>
                <xdr:cNvGrpSpPr/>
              </xdr:nvGrpSpPr>
              <xdr:grpSpPr>
                <a:xfrm>
                  <a:off x="16755119" y="14887307"/>
                  <a:ext cx="2158192" cy="753182"/>
                  <a:chOff x="28351843" y="12458683"/>
                  <a:chExt cx="2160000" cy="726638"/>
                </a:xfrm>
              </xdr:grpSpPr>
              <xdr:sp macro="" textlink="">
                <xdr:nvSpPr>
                  <xdr:cNvPr id="321" name="Cheurón 320">
                    <a:extLst>
                      <a:ext uri="{FF2B5EF4-FFF2-40B4-BE49-F238E27FC236}">
                        <a16:creationId xmlns:a16="http://schemas.microsoft.com/office/drawing/2014/main" id="{00000000-0008-0000-0800-000041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22" name="CuadroTexto 321">
                    <a:extLst>
                      <a:ext uri="{FF2B5EF4-FFF2-40B4-BE49-F238E27FC236}">
                        <a16:creationId xmlns:a16="http://schemas.microsoft.com/office/drawing/2014/main" id="{00000000-0008-0000-0800-000042010000}"/>
                      </a:ext>
                    </a:extLst>
                  </xdr:cNvPr>
                  <xdr:cNvSpPr txBox="1"/>
                </xdr:nvSpPr>
                <xdr:spPr>
                  <a:xfrm>
                    <a:off x="2842117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W$26">
                <xdr:nvSpPr>
                  <xdr:cNvPr id="323" name="Rectángulo redondeado 322">
                    <a:extLst>
                      <a:ext uri="{FF2B5EF4-FFF2-40B4-BE49-F238E27FC236}">
                        <a16:creationId xmlns:a16="http://schemas.microsoft.com/office/drawing/2014/main" id="{00000000-0008-0000-0800-000043010000}"/>
                      </a:ext>
                    </a:extLst>
                  </xdr:cNvPr>
                  <xdr:cNvSpPr/>
                </xdr:nvSpPr>
                <xdr:spPr>
                  <a:xfrm>
                    <a:off x="29539922"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F14B772-6399-40AA-BAD0-832D35E26479}" type="TxLink">
                      <a:rPr lang="en-US" sz="1600" b="1" i="0" u="none" strike="noStrike">
                        <a:solidFill>
                          <a:srgbClr val="FFFF00"/>
                        </a:solidFill>
                        <a:latin typeface="Century Gothic"/>
                      </a:rPr>
                      <a:pPr algn="ctr"/>
                      <a:t>20,0%</a:t>
                    </a:fld>
                    <a:endParaRPr lang="es-CO" sz="4400">
                      <a:solidFill>
                        <a:srgbClr val="FFFF00"/>
                      </a:solidFill>
                    </a:endParaRPr>
                  </a:p>
                </xdr:txBody>
              </xdr:sp>
            </xdr:grpSp>
            <xdr:grpSp>
              <xdr:nvGrpSpPr>
                <xdr:cNvPr id="317" name="Grupo 316">
                  <a:extLst>
                    <a:ext uri="{FF2B5EF4-FFF2-40B4-BE49-F238E27FC236}">
                      <a16:creationId xmlns:a16="http://schemas.microsoft.com/office/drawing/2014/main" id="{00000000-0008-0000-0800-00003D010000}"/>
                    </a:ext>
                  </a:extLst>
                </xdr:cNvPr>
                <xdr:cNvGrpSpPr/>
              </xdr:nvGrpSpPr>
              <xdr:grpSpPr>
                <a:xfrm>
                  <a:off x="17973656" y="15355669"/>
                  <a:ext cx="825525" cy="283551"/>
                  <a:chOff x="17958262" y="16577754"/>
                  <a:chExt cx="825525" cy="275854"/>
                </a:xfrm>
              </xdr:grpSpPr>
              <xdr:sp macro="" textlink="">
                <xdr:nvSpPr>
                  <xdr:cNvPr id="318" name="CuadroTexto 317">
                    <a:extLst>
                      <a:ext uri="{FF2B5EF4-FFF2-40B4-BE49-F238E27FC236}">
                        <a16:creationId xmlns:a16="http://schemas.microsoft.com/office/drawing/2014/main" id="{00000000-0008-0000-0800-00003E010000}"/>
                      </a:ext>
                    </a:extLst>
                  </xdr:cNvPr>
                  <xdr:cNvSpPr txBox="1"/>
                </xdr:nvSpPr>
                <xdr:spPr>
                  <a:xfrm>
                    <a:off x="17958262" y="16579690"/>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6">
                <xdr:nvSpPr>
                  <xdr:cNvPr id="319" name="Rectángulo 318">
                    <a:extLst>
                      <a:ext uri="{FF2B5EF4-FFF2-40B4-BE49-F238E27FC236}">
                        <a16:creationId xmlns:a16="http://schemas.microsoft.com/office/drawing/2014/main" id="{00000000-0008-0000-0800-00003F010000}"/>
                      </a:ext>
                    </a:extLst>
                  </xdr:cNvPr>
                  <xdr:cNvSpPr/>
                </xdr:nvSpPr>
                <xdr:spPr>
                  <a:xfrm>
                    <a:off x="18013854" y="1657775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3509323-1E08-4B33-B1B9-F0440CD587E8}"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L$26">
                <xdr:nvSpPr>
                  <xdr:cNvPr id="320" name="Rectángulo 319">
                    <a:extLst>
                      <a:ext uri="{FF2B5EF4-FFF2-40B4-BE49-F238E27FC236}">
                        <a16:creationId xmlns:a16="http://schemas.microsoft.com/office/drawing/2014/main" id="{00000000-0008-0000-0800-000040010000}"/>
                      </a:ext>
                    </a:extLst>
                  </xdr:cNvPr>
                  <xdr:cNvSpPr/>
                </xdr:nvSpPr>
                <xdr:spPr>
                  <a:xfrm>
                    <a:off x="18299850" y="1657775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C70EFFCE-7401-4149-9DC7-126244A62E4C}" type="TxLink">
                      <a:rPr lang="en-US" sz="1100" b="1" i="0" u="none" strike="noStrike">
                        <a:solidFill>
                          <a:srgbClr val="FFFF00"/>
                        </a:solidFill>
                        <a:latin typeface="Century Gothic"/>
                      </a:rPr>
                      <a:pPr algn="ctr"/>
                      <a:t>10</a:t>
                    </a:fld>
                    <a:endParaRPr lang="es-CO" sz="1100" b="1">
                      <a:solidFill>
                        <a:srgbClr val="FFFF00"/>
                      </a:solidFill>
                    </a:endParaRPr>
                  </a:p>
                </xdr:txBody>
              </xdr:sp>
            </xdr:grpSp>
          </xdr:grpSp>
          <xdr:grpSp>
            <xdr:nvGrpSpPr>
              <xdr:cNvPr id="249" name="Grupo 248">
                <a:extLst>
                  <a:ext uri="{FF2B5EF4-FFF2-40B4-BE49-F238E27FC236}">
                    <a16:creationId xmlns:a16="http://schemas.microsoft.com/office/drawing/2014/main" id="{00000000-0008-0000-0800-0000F9000000}"/>
                  </a:ext>
                </a:extLst>
              </xdr:cNvPr>
              <xdr:cNvGrpSpPr/>
            </xdr:nvGrpSpPr>
            <xdr:grpSpPr>
              <a:xfrm>
                <a:off x="12034121" y="14046320"/>
                <a:ext cx="721666" cy="1652304"/>
                <a:chOff x="27415455" y="8406495"/>
                <a:chExt cx="720604" cy="1610348"/>
              </a:xfrm>
            </xdr:grpSpPr>
            <xdr:sp macro="" textlink="">
              <xdr:nvSpPr>
                <xdr:cNvPr id="314" name="Rectángulo 313">
                  <a:extLst>
                    <a:ext uri="{FF2B5EF4-FFF2-40B4-BE49-F238E27FC236}">
                      <a16:creationId xmlns:a16="http://schemas.microsoft.com/office/drawing/2014/main" id="{00000000-0008-0000-0800-00003A010000}"/>
                    </a:ext>
                  </a:extLst>
                </xdr:cNvPr>
                <xdr:cNvSpPr/>
              </xdr:nvSpPr>
              <xdr:spPr>
                <a:xfrm>
                  <a:off x="27415455" y="8450034"/>
                  <a:ext cx="720604"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15" name="CuadroTexto 314">
                  <a:extLst>
                    <a:ext uri="{FF2B5EF4-FFF2-40B4-BE49-F238E27FC236}">
                      <a16:creationId xmlns:a16="http://schemas.microsoft.com/office/drawing/2014/main" id="{00000000-0008-0000-0800-00003B010000}"/>
                    </a:ext>
                  </a:extLst>
                </xdr:cNvPr>
                <xdr:cNvSpPr txBox="1"/>
              </xdr:nvSpPr>
              <xdr:spPr>
                <a:xfrm rot="16200000">
                  <a:off x="26959463"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250" name="Flecha abajo 249">
                <a:extLst>
                  <a:ext uri="{FF2B5EF4-FFF2-40B4-BE49-F238E27FC236}">
                    <a16:creationId xmlns:a16="http://schemas.microsoft.com/office/drawing/2014/main" id="{00000000-0008-0000-0800-0000FA000000}"/>
                  </a:ext>
                </a:extLst>
              </xdr:cNvPr>
              <xdr:cNvSpPr/>
            </xdr:nvSpPr>
            <xdr:spPr>
              <a:xfrm rot="10800000">
                <a:off x="17419862" y="13753606"/>
                <a:ext cx="468690" cy="295503"/>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51" name="Grupo 250">
                <a:extLst>
                  <a:ext uri="{FF2B5EF4-FFF2-40B4-BE49-F238E27FC236}">
                    <a16:creationId xmlns:a16="http://schemas.microsoft.com/office/drawing/2014/main" id="{00000000-0008-0000-0800-0000FB000000}"/>
                  </a:ext>
                </a:extLst>
              </xdr:cNvPr>
              <xdr:cNvGrpSpPr/>
            </xdr:nvGrpSpPr>
            <xdr:grpSpPr>
              <a:xfrm>
                <a:off x="12857431" y="14099363"/>
                <a:ext cx="2163185" cy="749484"/>
                <a:chOff x="12820100" y="15204109"/>
                <a:chExt cx="2157065" cy="743322"/>
              </a:xfrm>
            </xdr:grpSpPr>
            <xdr:grpSp>
              <xdr:nvGrpSpPr>
                <xdr:cNvPr id="306" name="Grupo 305">
                  <a:extLst>
                    <a:ext uri="{FF2B5EF4-FFF2-40B4-BE49-F238E27FC236}">
                      <a16:creationId xmlns:a16="http://schemas.microsoft.com/office/drawing/2014/main" id="{00000000-0008-0000-0800-000032010000}"/>
                    </a:ext>
                  </a:extLst>
                </xdr:cNvPr>
                <xdr:cNvGrpSpPr/>
              </xdr:nvGrpSpPr>
              <xdr:grpSpPr>
                <a:xfrm>
                  <a:off x="12820100" y="15204109"/>
                  <a:ext cx="2157065" cy="739441"/>
                  <a:chOff x="28351843" y="12458683"/>
                  <a:chExt cx="2160000" cy="726638"/>
                </a:xfrm>
              </xdr:grpSpPr>
              <xdr:sp macro="" textlink="">
                <xdr:nvSpPr>
                  <xdr:cNvPr id="311" name="Cheurón 310">
                    <a:extLst>
                      <a:ext uri="{FF2B5EF4-FFF2-40B4-BE49-F238E27FC236}">
                        <a16:creationId xmlns:a16="http://schemas.microsoft.com/office/drawing/2014/main" id="{00000000-0008-0000-0800-000037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12" name="CuadroTexto 311">
                    <a:extLst>
                      <a:ext uri="{FF2B5EF4-FFF2-40B4-BE49-F238E27FC236}">
                        <a16:creationId xmlns:a16="http://schemas.microsoft.com/office/drawing/2014/main" id="{00000000-0008-0000-0800-00003801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W$20">
                <xdr:nvSpPr>
                  <xdr:cNvPr id="313" name="Rectángulo redondeado 312">
                    <a:extLst>
                      <a:ext uri="{FF2B5EF4-FFF2-40B4-BE49-F238E27FC236}">
                        <a16:creationId xmlns:a16="http://schemas.microsoft.com/office/drawing/2014/main" id="{00000000-0008-0000-0800-000039010000}"/>
                      </a:ext>
                    </a:extLst>
                  </xdr:cNvPr>
                  <xdr:cNvSpPr/>
                </xdr:nvSpPr>
                <xdr:spPr>
                  <a:xfrm>
                    <a:off x="29557264" y="1257052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1591A4-99B2-4438-8C87-3D02429B92ED}" type="TxLink">
                      <a:rPr lang="en-US" sz="1600" b="1" i="0" u="none" strike="noStrike">
                        <a:solidFill>
                          <a:srgbClr val="FFFF00"/>
                        </a:solidFill>
                        <a:latin typeface="Century Gothic"/>
                      </a:rPr>
                      <a:pPr algn="ctr"/>
                      <a:t>30,0%</a:t>
                    </a:fld>
                    <a:endParaRPr lang="es-CO" sz="2800">
                      <a:solidFill>
                        <a:srgbClr val="FFFF00"/>
                      </a:solidFill>
                    </a:endParaRPr>
                  </a:p>
                </xdr:txBody>
              </xdr:sp>
            </xdr:grpSp>
            <xdr:grpSp>
              <xdr:nvGrpSpPr>
                <xdr:cNvPr id="307" name="Grupo 306">
                  <a:extLst>
                    <a:ext uri="{FF2B5EF4-FFF2-40B4-BE49-F238E27FC236}">
                      <a16:creationId xmlns:a16="http://schemas.microsoft.com/office/drawing/2014/main" id="{00000000-0008-0000-0800-000033010000}"/>
                    </a:ext>
                  </a:extLst>
                </xdr:cNvPr>
                <xdr:cNvGrpSpPr/>
              </xdr:nvGrpSpPr>
              <xdr:grpSpPr>
                <a:xfrm>
                  <a:off x="14033393" y="15671577"/>
                  <a:ext cx="825525" cy="275854"/>
                  <a:chOff x="14059370" y="15832199"/>
                  <a:chExt cx="825525" cy="275854"/>
                </a:xfrm>
              </xdr:grpSpPr>
              <xdr:sp macro="" textlink="">
                <xdr:nvSpPr>
                  <xdr:cNvPr id="308" name="CuadroTexto 307">
                    <a:extLst>
                      <a:ext uri="{FF2B5EF4-FFF2-40B4-BE49-F238E27FC236}">
                        <a16:creationId xmlns:a16="http://schemas.microsoft.com/office/drawing/2014/main" id="{00000000-0008-0000-0800-000034010000}"/>
                      </a:ext>
                    </a:extLst>
                  </xdr:cNvPr>
                  <xdr:cNvSpPr txBox="1"/>
                </xdr:nvSpPr>
                <xdr:spPr>
                  <a:xfrm>
                    <a:off x="14059370" y="15834135"/>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b="0" i="0">
                        <a:solidFill>
                          <a:srgbClr val="FFFF00"/>
                        </a:solidFill>
                        <a:latin typeface="Century Gothic" panose="020B0502020202020204" pitchFamily="34" charset="0"/>
                      </a:rPr>
                      <a:t>(</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  </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a:t>
                    </a:r>
                  </a:p>
                </xdr:txBody>
              </xdr:sp>
              <xdr:sp macro="" textlink="$R$20">
                <xdr:nvSpPr>
                  <xdr:cNvPr id="309" name="Rectángulo 308">
                    <a:extLst>
                      <a:ext uri="{FF2B5EF4-FFF2-40B4-BE49-F238E27FC236}">
                        <a16:creationId xmlns:a16="http://schemas.microsoft.com/office/drawing/2014/main" id="{00000000-0008-0000-0800-000035010000}"/>
                      </a:ext>
                    </a:extLst>
                  </xdr:cNvPr>
                  <xdr:cNvSpPr/>
                </xdr:nvSpPr>
                <xdr:spPr>
                  <a:xfrm>
                    <a:off x="14112075" y="1583219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62A09B3C-8EE8-4317-88A8-0AC55F7494E7}"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L$20">
                <xdr:nvSpPr>
                  <xdr:cNvPr id="310" name="Rectángulo 309">
                    <a:extLst>
                      <a:ext uri="{FF2B5EF4-FFF2-40B4-BE49-F238E27FC236}">
                        <a16:creationId xmlns:a16="http://schemas.microsoft.com/office/drawing/2014/main" id="{00000000-0008-0000-0800-000036010000}"/>
                      </a:ext>
                    </a:extLst>
                  </xdr:cNvPr>
                  <xdr:cNvSpPr/>
                </xdr:nvSpPr>
                <xdr:spPr>
                  <a:xfrm>
                    <a:off x="14398071" y="1583219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DA36E6B-B3D1-46AA-BF3E-F24590E8CDED}" type="TxLink">
                      <a:rPr lang="en-US" sz="1100" b="1" i="0" u="none" strike="noStrike">
                        <a:solidFill>
                          <a:srgbClr val="FFFF00"/>
                        </a:solidFill>
                        <a:latin typeface="Century Gothic"/>
                      </a:rPr>
                      <a:pPr algn="ctr"/>
                      <a:t>40</a:t>
                    </a:fld>
                    <a:endParaRPr lang="es-CO" sz="1100" b="1">
                      <a:solidFill>
                        <a:srgbClr val="FFFF00"/>
                      </a:solidFill>
                    </a:endParaRPr>
                  </a:p>
                </xdr:txBody>
              </xdr:sp>
            </xdr:grpSp>
          </xdr:grpSp>
          <xdr:grpSp>
            <xdr:nvGrpSpPr>
              <xdr:cNvPr id="252" name="Grupo 251">
                <a:extLst>
                  <a:ext uri="{FF2B5EF4-FFF2-40B4-BE49-F238E27FC236}">
                    <a16:creationId xmlns:a16="http://schemas.microsoft.com/office/drawing/2014/main" id="{00000000-0008-0000-0800-0000FC000000}"/>
                  </a:ext>
                </a:extLst>
              </xdr:cNvPr>
              <xdr:cNvGrpSpPr/>
            </xdr:nvGrpSpPr>
            <xdr:grpSpPr>
              <a:xfrm>
                <a:off x="14808847" y="14099363"/>
                <a:ext cx="2171832" cy="749484"/>
                <a:chOff x="14765995" y="15204109"/>
                <a:chExt cx="2165688" cy="743322"/>
              </a:xfrm>
            </xdr:grpSpPr>
            <xdr:grpSp>
              <xdr:nvGrpSpPr>
                <xdr:cNvPr id="298" name="Grupo 297">
                  <a:extLst>
                    <a:ext uri="{FF2B5EF4-FFF2-40B4-BE49-F238E27FC236}">
                      <a16:creationId xmlns:a16="http://schemas.microsoft.com/office/drawing/2014/main" id="{00000000-0008-0000-0800-00002A010000}"/>
                    </a:ext>
                  </a:extLst>
                </xdr:cNvPr>
                <xdr:cNvGrpSpPr/>
              </xdr:nvGrpSpPr>
              <xdr:grpSpPr>
                <a:xfrm>
                  <a:off x="14765995" y="15204109"/>
                  <a:ext cx="2165688" cy="739441"/>
                  <a:chOff x="28351843" y="12458683"/>
                  <a:chExt cx="2168635" cy="726638"/>
                </a:xfrm>
              </xdr:grpSpPr>
              <xdr:sp macro="" textlink="">
                <xdr:nvSpPr>
                  <xdr:cNvPr id="303" name="Cheurón 302">
                    <a:extLst>
                      <a:ext uri="{FF2B5EF4-FFF2-40B4-BE49-F238E27FC236}">
                        <a16:creationId xmlns:a16="http://schemas.microsoft.com/office/drawing/2014/main" id="{00000000-0008-0000-0800-00002F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04" name="CuadroTexto 303">
                    <a:extLst>
                      <a:ext uri="{FF2B5EF4-FFF2-40B4-BE49-F238E27FC236}">
                        <a16:creationId xmlns:a16="http://schemas.microsoft.com/office/drawing/2014/main" id="{00000000-0008-0000-0800-00003001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W$21">
                <xdr:nvSpPr>
                  <xdr:cNvPr id="305" name="Rectángulo redondeado 304">
                    <a:extLst>
                      <a:ext uri="{FF2B5EF4-FFF2-40B4-BE49-F238E27FC236}">
                        <a16:creationId xmlns:a16="http://schemas.microsoft.com/office/drawing/2014/main" id="{00000000-0008-0000-0800-00003101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7D72A0-69F4-4BB2-A822-53CAE2C40151}" type="TxLink">
                      <a:rPr lang="en-US" sz="1600" b="1" i="0" u="none" strike="noStrike">
                        <a:solidFill>
                          <a:srgbClr val="FFFF00"/>
                        </a:solidFill>
                        <a:latin typeface="Century Gothic"/>
                      </a:rPr>
                      <a:pPr algn="ctr"/>
                      <a:t>0,9%</a:t>
                    </a:fld>
                    <a:endParaRPr lang="es-CO" sz="3600">
                      <a:solidFill>
                        <a:srgbClr val="FFFF00"/>
                      </a:solidFill>
                    </a:endParaRPr>
                  </a:p>
                </xdr:txBody>
              </xdr:sp>
            </xdr:grpSp>
            <xdr:grpSp>
              <xdr:nvGrpSpPr>
                <xdr:cNvPr id="299" name="Grupo 298">
                  <a:extLst>
                    <a:ext uri="{FF2B5EF4-FFF2-40B4-BE49-F238E27FC236}">
                      <a16:creationId xmlns:a16="http://schemas.microsoft.com/office/drawing/2014/main" id="{00000000-0008-0000-0800-00002B010000}"/>
                    </a:ext>
                  </a:extLst>
                </xdr:cNvPr>
                <xdr:cNvGrpSpPr/>
              </xdr:nvGrpSpPr>
              <xdr:grpSpPr>
                <a:xfrm>
                  <a:off x="15995542" y="15671577"/>
                  <a:ext cx="825525" cy="275854"/>
                  <a:chOff x="16012860" y="15776783"/>
                  <a:chExt cx="825525" cy="275854"/>
                </a:xfrm>
              </xdr:grpSpPr>
              <xdr:sp macro="" textlink="">
                <xdr:nvSpPr>
                  <xdr:cNvPr id="300" name="CuadroTexto 299">
                    <a:extLst>
                      <a:ext uri="{FF2B5EF4-FFF2-40B4-BE49-F238E27FC236}">
                        <a16:creationId xmlns:a16="http://schemas.microsoft.com/office/drawing/2014/main" id="{00000000-0008-0000-0800-00002C010000}"/>
                      </a:ext>
                    </a:extLst>
                  </xdr:cNvPr>
                  <xdr:cNvSpPr txBox="1"/>
                </xdr:nvSpPr>
                <xdr:spPr>
                  <a:xfrm>
                    <a:off x="16012860" y="1577871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1">
                <xdr:nvSpPr>
                  <xdr:cNvPr id="301" name="Rectángulo 300">
                    <a:extLst>
                      <a:ext uri="{FF2B5EF4-FFF2-40B4-BE49-F238E27FC236}">
                        <a16:creationId xmlns:a16="http://schemas.microsoft.com/office/drawing/2014/main" id="{00000000-0008-0000-0800-00002D010000}"/>
                      </a:ext>
                    </a:extLst>
                  </xdr:cNvPr>
                  <xdr:cNvSpPr/>
                </xdr:nvSpPr>
                <xdr:spPr>
                  <a:xfrm>
                    <a:off x="16039588" y="1577678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BAEC7CF-A364-4E4D-A8A1-C10568A38523}"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L$21">
                <xdr:nvSpPr>
                  <xdr:cNvPr id="302" name="Rectángulo 301">
                    <a:extLst>
                      <a:ext uri="{FF2B5EF4-FFF2-40B4-BE49-F238E27FC236}">
                        <a16:creationId xmlns:a16="http://schemas.microsoft.com/office/drawing/2014/main" id="{00000000-0008-0000-0800-00002E010000}"/>
                      </a:ext>
                    </a:extLst>
                  </xdr:cNvPr>
                  <xdr:cNvSpPr/>
                </xdr:nvSpPr>
                <xdr:spPr>
                  <a:xfrm>
                    <a:off x="16325584" y="1577678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C43F85B6-6953-4072-87E0-788A089EFDC5}" type="TxLink">
                      <a:rPr lang="en-US" sz="1100" b="1" i="0" u="none" strike="noStrike">
                        <a:solidFill>
                          <a:srgbClr val="FFFF00"/>
                        </a:solidFill>
                        <a:latin typeface="Century Gothic"/>
                      </a:rPr>
                      <a:pPr algn="ctr"/>
                      <a:t>109</a:t>
                    </a:fld>
                    <a:endParaRPr lang="es-CO" sz="1100" b="1">
                      <a:solidFill>
                        <a:srgbClr val="FFFF00"/>
                      </a:solidFill>
                    </a:endParaRPr>
                  </a:p>
                </xdr:txBody>
              </xdr:sp>
            </xdr:grpSp>
          </xdr:grpSp>
          <xdr:grpSp>
            <xdr:nvGrpSpPr>
              <xdr:cNvPr id="253" name="Grupo 252">
                <a:extLst>
                  <a:ext uri="{FF2B5EF4-FFF2-40B4-BE49-F238E27FC236}">
                    <a16:creationId xmlns:a16="http://schemas.microsoft.com/office/drawing/2014/main" id="{00000000-0008-0000-0800-0000FD000000}"/>
                  </a:ext>
                </a:extLst>
              </xdr:cNvPr>
              <xdr:cNvGrpSpPr/>
            </xdr:nvGrpSpPr>
            <xdr:grpSpPr>
              <a:xfrm>
                <a:off x="16773883" y="14099362"/>
                <a:ext cx="2171832" cy="749485"/>
                <a:chOff x="16725472" y="15204109"/>
                <a:chExt cx="2165688" cy="743323"/>
              </a:xfrm>
            </xdr:grpSpPr>
            <xdr:grpSp>
              <xdr:nvGrpSpPr>
                <xdr:cNvPr id="290" name="Grupo 289">
                  <a:extLst>
                    <a:ext uri="{FF2B5EF4-FFF2-40B4-BE49-F238E27FC236}">
                      <a16:creationId xmlns:a16="http://schemas.microsoft.com/office/drawing/2014/main" id="{00000000-0008-0000-0800-000022010000}"/>
                    </a:ext>
                  </a:extLst>
                </xdr:cNvPr>
                <xdr:cNvGrpSpPr/>
              </xdr:nvGrpSpPr>
              <xdr:grpSpPr>
                <a:xfrm>
                  <a:off x="16725472" y="15204109"/>
                  <a:ext cx="2165688" cy="739441"/>
                  <a:chOff x="28351843" y="12458683"/>
                  <a:chExt cx="2168635" cy="726638"/>
                </a:xfrm>
              </xdr:grpSpPr>
              <xdr:sp macro="" textlink="">
                <xdr:nvSpPr>
                  <xdr:cNvPr id="295" name="Cheurón 294">
                    <a:extLst>
                      <a:ext uri="{FF2B5EF4-FFF2-40B4-BE49-F238E27FC236}">
                        <a16:creationId xmlns:a16="http://schemas.microsoft.com/office/drawing/2014/main" id="{00000000-0008-0000-0800-000027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96" name="CuadroTexto 295">
                    <a:extLst>
                      <a:ext uri="{FF2B5EF4-FFF2-40B4-BE49-F238E27FC236}">
                        <a16:creationId xmlns:a16="http://schemas.microsoft.com/office/drawing/2014/main" id="{00000000-0008-0000-0800-000028010000}"/>
                      </a:ext>
                    </a:extLst>
                  </xdr:cNvPr>
                  <xdr:cNvSpPr txBox="1"/>
                </xdr:nvSpPr>
                <xdr:spPr>
                  <a:xfrm>
                    <a:off x="28452122"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W$22">
                <xdr:nvSpPr>
                  <xdr:cNvPr id="297" name="Rectángulo redondeado 296">
                    <a:extLst>
                      <a:ext uri="{FF2B5EF4-FFF2-40B4-BE49-F238E27FC236}">
                        <a16:creationId xmlns:a16="http://schemas.microsoft.com/office/drawing/2014/main" id="{00000000-0008-0000-0800-00002901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A1C176-E0AA-42AE-9DC1-4C3F2D9FCA9A}" type="TxLink">
                      <a:rPr lang="en-US" sz="1600" b="1" i="0" u="none" strike="noStrike">
                        <a:solidFill>
                          <a:srgbClr val="FFFF00"/>
                        </a:solidFill>
                        <a:latin typeface="Century Gothic"/>
                      </a:rPr>
                      <a:pPr algn="ctr"/>
                      <a:t>0,0%</a:t>
                    </a:fld>
                    <a:endParaRPr lang="es-CO" sz="4400">
                      <a:solidFill>
                        <a:srgbClr val="FFFF00"/>
                      </a:solidFill>
                    </a:endParaRPr>
                  </a:p>
                </xdr:txBody>
              </xdr:sp>
            </xdr:grpSp>
            <xdr:grpSp>
              <xdr:nvGrpSpPr>
                <xdr:cNvPr id="291" name="Grupo 290">
                  <a:extLst>
                    <a:ext uri="{FF2B5EF4-FFF2-40B4-BE49-F238E27FC236}">
                      <a16:creationId xmlns:a16="http://schemas.microsoft.com/office/drawing/2014/main" id="{00000000-0008-0000-0800-000023010000}"/>
                    </a:ext>
                  </a:extLst>
                </xdr:cNvPr>
                <xdr:cNvGrpSpPr/>
              </xdr:nvGrpSpPr>
              <xdr:grpSpPr>
                <a:xfrm>
                  <a:off x="17949031" y="15671575"/>
                  <a:ext cx="825525" cy="275857"/>
                  <a:chOff x="17966349" y="15786307"/>
                  <a:chExt cx="825525" cy="275857"/>
                </a:xfrm>
              </xdr:grpSpPr>
              <xdr:sp macro="" textlink="">
                <xdr:nvSpPr>
                  <xdr:cNvPr id="292" name="CuadroTexto 291">
                    <a:extLst>
                      <a:ext uri="{FF2B5EF4-FFF2-40B4-BE49-F238E27FC236}">
                        <a16:creationId xmlns:a16="http://schemas.microsoft.com/office/drawing/2014/main" id="{00000000-0008-0000-0800-000024010000}"/>
                      </a:ext>
                    </a:extLst>
                  </xdr:cNvPr>
                  <xdr:cNvSpPr txBox="1"/>
                </xdr:nvSpPr>
                <xdr:spPr>
                  <a:xfrm>
                    <a:off x="17966349" y="15788245"/>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2">
                <xdr:nvSpPr>
                  <xdr:cNvPr id="293" name="Rectángulo 292">
                    <a:extLst>
                      <a:ext uri="{FF2B5EF4-FFF2-40B4-BE49-F238E27FC236}">
                        <a16:creationId xmlns:a16="http://schemas.microsoft.com/office/drawing/2014/main" id="{00000000-0008-0000-0800-000025010000}"/>
                      </a:ext>
                    </a:extLst>
                  </xdr:cNvPr>
                  <xdr:cNvSpPr/>
                </xdr:nvSpPr>
                <xdr:spPr>
                  <a:xfrm>
                    <a:off x="18019054" y="15786307"/>
                    <a:ext cx="432000" cy="2758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7E57002-4343-4440-8669-BA97229F26F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22">
                <xdr:nvSpPr>
                  <xdr:cNvPr id="294" name="Rectángulo 293">
                    <a:extLst>
                      <a:ext uri="{FF2B5EF4-FFF2-40B4-BE49-F238E27FC236}">
                        <a16:creationId xmlns:a16="http://schemas.microsoft.com/office/drawing/2014/main" id="{00000000-0008-0000-0800-000026010000}"/>
                      </a:ext>
                    </a:extLst>
                  </xdr:cNvPr>
                  <xdr:cNvSpPr/>
                </xdr:nvSpPr>
                <xdr:spPr>
                  <a:xfrm>
                    <a:off x="18305050" y="1578631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E1E542E-CC07-4351-B8FC-13B4FCA9684E}" type="TxLink">
                      <a:rPr lang="en-US" sz="1100" b="1" i="0" u="none" strike="noStrike">
                        <a:solidFill>
                          <a:srgbClr val="FFFF00"/>
                        </a:solidFill>
                        <a:latin typeface="Century Gothic"/>
                      </a:rPr>
                      <a:pPr algn="ctr"/>
                      <a:t>11</a:t>
                    </a:fld>
                    <a:endParaRPr lang="es-CO" sz="1100" b="1">
                      <a:solidFill>
                        <a:srgbClr val="FFFF00"/>
                      </a:solidFill>
                    </a:endParaRPr>
                  </a:p>
                </xdr:txBody>
              </xdr:sp>
            </xdr:grpSp>
          </xdr:grpSp>
          <xdr:grpSp>
            <xdr:nvGrpSpPr>
              <xdr:cNvPr id="254" name="Grupo 253">
                <a:extLst>
                  <a:ext uri="{FF2B5EF4-FFF2-40B4-BE49-F238E27FC236}">
                    <a16:creationId xmlns:a16="http://schemas.microsoft.com/office/drawing/2014/main" id="{00000000-0008-0000-0800-0000FE000000}"/>
                  </a:ext>
                </a:extLst>
              </xdr:cNvPr>
              <xdr:cNvGrpSpPr/>
            </xdr:nvGrpSpPr>
            <xdr:grpSpPr>
              <a:xfrm>
                <a:off x="18738927" y="14099363"/>
                <a:ext cx="2171832" cy="749484"/>
                <a:chOff x="18684957" y="15204109"/>
                <a:chExt cx="2165688" cy="743322"/>
              </a:xfrm>
            </xdr:grpSpPr>
            <xdr:grpSp>
              <xdr:nvGrpSpPr>
                <xdr:cNvPr id="282" name="Grupo 281">
                  <a:extLst>
                    <a:ext uri="{FF2B5EF4-FFF2-40B4-BE49-F238E27FC236}">
                      <a16:creationId xmlns:a16="http://schemas.microsoft.com/office/drawing/2014/main" id="{00000000-0008-0000-0800-00001A010000}"/>
                    </a:ext>
                  </a:extLst>
                </xdr:cNvPr>
                <xdr:cNvGrpSpPr/>
              </xdr:nvGrpSpPr>
              <xdr:grpSpPr>
                <a:xfrm>
                  <a:off x="18684957" y="15204109"/>
                  <a:ext cx="2165688" cy="739441"/>
                  <a:chOff x="28351843" y="12458683"/>
                  <a:chExt cx="2168635" cy="726638"/>
                </a:xfrm>
              </xdr:grpSpPr>
              <xdr:sp macro="" textlink="">
                <xdr:nvSpPr>
                  <xdr:cNvPr id="287" name="Cheurón 286">
                    <a:extLst>
                      <a:ext uri="{FF2B5EF4-FFF2-40B4-BE49-F238E27FC236}">
                        <a16:creationId xmlns:a16="http://schemas.microsoft.com/office/drawing/2014/main" id="{00000000-0008-0000-0800-00001F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88" name="CuadroTexto 287">
                    <a:extLst>
                      <a:ext uri="{FF2B5EF4-FFF2-40B4-BE49-F238E27FC236}">
                        <a16:creationId xmlns:a16="http://schemas.microsoft.com/office/drawing/2014/main" id="{00000000-0008-0000-0800-000020010000}"/>
                      </a:ext>
                    </a:extLst>
                  </xdr:cNvPr>
                  <xdr:cNvSpPr txBox="1"/>
                </xdr:nvSpPr>
                <xdr:spPr>
                  <a:xfrm>
                    <a:off x="2846199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W$23">
                <xdr:nvSpPr>
                  <xdr:cNvPr id="289" name="Rectángulo redondeado 288">
                    <a:extLst>
                      <a:ext uri="{FF2B5EF4-FFF2-40B4-BE49-F238E27FC236}">
                        <a16:creationId xmlns:a16="http://schemas.microsoft.com/office/drawing/2014/main" id="{00000000-0008-0000-0800-00002101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2CA62E3-C21B-4951-9209-F068CF8DF0EA}" type="TxLink">
                      <a:rPr lang="en-US" sz="1600" b="1" i="0" u="none" strike="noStrike">
                        <a:solidFill>
                          <a:srgbClr val="FFFF00"/>
                        </a:solidFill>
                        <a:latin typeface="Century Gothic"/>
                      </a:rPr>
                      <a:pPr algn="ctr"/>
                      <a:t>0,0%</a:t>
                    </a:fld>
                    <a:endParaRPr lang="es-CO" sz="5400">
                      <a:solidFill>
                        <a:srgbClr val="FFFF00"/>
                      </a:solidFill>
                    </a:endParaRPr>
                  </a:p>
                </xdr:txBody>
              </xdr:sp>
            </xdr:grpSp>
            <xdr:grpSp>
              <xdr:nvGrpSpPr>
                <xdr:cNvPr id="283" name="Grupo 282">
                  <a:extLst>
                    <a:ext uri="{FF2B5EF4-FFF2-40B4-BE49-F238E27FC236}">
                      <a16:creationId xmlns:a16="http://schemas.microsoft.com/office/drawing/2014/main" id="{00000000-0008-0000-0800-00001B010000}"/>
                    </a:ext>
                  </a:extLst>
                </xdr:cNvPr>
                <xdr:cNvGrpSpPr/>
              </xdr:nvGrpSpPr>
              <xdr:grpSpPr>
                <a:xfrm>
                  <a:off x="19902520" y="15671577"/>
                  <a:ext cx="825525" cy="275854"/>
                  <a:chOff x="19911179" y="15782847"/>
                  <a:chExt cx="825525" cy="275854"/>
                </a:xfrm>
              </xdr:grpSpPr>
              <xdr:sp macro="" textlink="">
                <xdr:nvSpPr>
                  <xdr:cNvPr id="284" name="CuadroTexto 283">
                    <a:extLst>
                      <a:ext uri="{FF2B5EF4-FFF2-40B4-BE49-F238E27FC236}">
                        <a16:creationId xmlns:a16="http://schemas.microsoft.com/office/drawing/2014/main" id="{00000000-0008-0000-0800-00001C010000}"/>
                      </a:ext>
                    </a:extLst>
                  </xdr:cNvPr>
                  <xdr:cNvSpPr txBox="1"/>
                </xdr:nvSpPr>
                <xdr:spPr>
                  <a:xfrm>
                    <a:off x="19911179" y="15784783"/>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3">
                <xdr:nvSpPr>
                  <xdr:cNvPr id="285" name="Rectángulo 284">
                    <a:extLst>
                      <a:ext uri="{FF2B5EF4-FFF2-40B4-BE49-F238E27FC236}">
                        <a16:creationId xmlns:a16="http://schemas.microsoft.com/office/drawing/2014/main" id="{00000000-0008-0000-0800-00001D010000}"/>
                      </a:ext>
                    </a:extLst>
                  </xdr:cNvPr>
                  <xdr:cNvSpPr/>
                </xdr:nvSpPr>
                <xdr:spPr>
                  <a:xfrm>
                    <a:off x="19963884" y="1578284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2D68F2D-D0BD-434F-94C6-4523BBE672FE}"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23">
                <xdr:nvSpPr>
                  <xdr:cNvPr id="286" name="Rectángulo 285">
                    <a:extLst>
                      <a:ext uri="{FF2B5EF4-FFF2-40B4-BE49-F238E27FC236}">
                        <a16:creationId xmlns:a16="http://schemas.microsoft.com/office/drawing/2014/main" id="{00000000-0008-0000-0800-00001E010000}"/>
                      </a:ext>
                    </a:extLst>
                  </xdr:cNvPr>
                  <xdr:cNvSpPr/>
                </xdr:nvSpPr>
                <xdr:spPr>
                  <a:xfrm>
                    <a:off x="20249880" y="1578284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9C59F2B9-FD8F-4A7F-B522-25B46C5AA52F}" type="TxLink">
                      <a:rPr lang="en-US" sz="1100" b="1" i="0" u="none" strike="noStrike">
                        <a:solidFill>
                          <a:srgbClr val="FFFF00"/>
                        </a:solidFill>
                        <a:latin typeface="Century Gothic"/>
                      </a:rPr>
                      <a:pPr algn="ctr"/>
                      <a:t>46</a:t>
                    </a:fld>
                    <a:endParaRPr lang="es-CO" sz="1100" b="1">
                      <a:solidFill>
                        <a:srgbClr val="FFFF00"/>
                      </a:solidFill>
                    </a:endParaRPr>
                  </a:p>
                </xdr:txBody>
              </xdr:sp>
            </xdr:grpSp>
          </xdr:grpSp>
          <xdr:grpSp>
            <xdr:nvGrpSpPr>
              <xdr:cNvPr id="255" name="Grupo 254">
                <a:extLst>
                  <a:ext uri="{FF2B5EF4-FFF2-40B4-BE49-F238E27FC236}">
                    <a16:creationId xmlns:a16="http://schemas.microsoft.com/office/drawing/2014/main" id="{00000000-0008-0000-0800-0000FF000000}"/>
                  </a:ext>
                </a:extLst>
              </xdr:cNvPr>
              <xdr:cNvGrpSpPr/>
            </xdr:nvGrpSpPr>
            <xdr:grpSpPr>
              <a:xfrm>
                <a:off x="20703969" y="14099363"/>
                <a:ext cx="2163185" cy="749484"/>
                <a:chOff x="20644440" y="15204109"/>
                <a:chExt cx="2157065" cy="743322"/>
              </a:xfrm>
            </xdr:grpSpPr>
            <xdr:grpSp>
              <xdr:nvGrpSpPr>
                <xdr:cNvPr id="274" name="Grupo 273">
                  <a:extLst>
                    <a:ext uri="{FF2B5EF4-FFF2-40B4-BE49-F238E27FC236}">
                      <a16:creationId xmlns:a16="http://schemas.microsoft.com/office/drawing/2014/main" id="{00000000-0008-0000-0800-000012010000}"/>
                    </a:ext>
                  </a:extLst>
                </xdr:cNvPr>
                <xdr:cNvGrpSpPr/>
              </xdr:nvGrpSpPr>
              <xdr:grpSpPr>
                <a:xfrm>
                  <a:off x="20644440" y="15204109"/>
                  <a:ext cx="2157065" cy="739441"/>
                  <a:chOff x="28351843" y="12458683"/>
                  <a:chExt cx="2160000" cy="726638"/>
                </a:xfrm>
              </xdr:grpSpPr>
              <xdr:sp macro="" textlink="">
                <xdr:nvSpPr>
                  <xdr:cNvPr id="279" name="Cheurón 278">
                    <a:extLst>
                      <a:ext uri="{FF2B5EF4-FFF2-40B4-BE49-F238E27FC236}">
                        <a16:creationId xmlns:a16="http://schemas.microsoft.com/office/drawing/2014/main" id="{00000000-0008-0000-0800-000017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80" name="CuadroTexto 279">
                    <a:extLst>
                      <a:ext uri="{FF2B5EF4-FFF2-40B4-BE49-F238E27FC236}">
                        <a16:creationId xmlns:a16="http://schemas.microsoft.com/office/drawing/2014/main" id="{00000000-0008-0000-0800-000018010000}"/>
                      </a:ext>
                    </a:extLst>
                  </xdr:cNvPr>
                  <xdr:cNvSpPr txBox="1"/>
                </xdr:nvSpPr>
                <xdr:spPr>
                  <a:xfrm>
                    <a:off x="2847066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W$24">
                <xdr:nvSpPr>
                  <xdr:cNvPr id="281" name="Rectángulo redondeado 280">
                    <a:extLst>
                      <a:ext uri="{FF2B5EF4-FFF2-40B4-BE49-F238E27FC236}">
                        <a16:creationId xmlns:a16="http://schemas.microsoft.com/office/drawing/2014/main" id="{00000000-0008-0000-0800-000019010000}"/>
                      </a:ext>
                    </a:extLst>
                  </xdr:cNvPr>
                  <xdr:cNvSpPr/>
                </xdr:nvSpPr>
                <xdr:spPr>
                  <a:xfrm>
                    <a:off x="29570871"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74791C-B912-4113-B967-DEBC3CE6937B}" type="TxLink">
                      <a:rPr lang="en-US" sz="1600" b="1" i="0" u="none" strike="noStrike">
                        <a:solidFill>
                          <a:srgbClr val="FFFF00"/>
                        </a:solidFill>
                        <a:latin typeface="Century Gothic"/>
                      </a:rPr>
                      <a:pPr algn="ctr"/>
                      <a:t>0,0%</a:t>
                    </a:fld>
                    <a:endParaRPr lang="es-CO" sz="6600">
                      <a:solidFill>
                        <a:srgbClr val="FFFF00"/>
                      </a:solidFill>
                    </a:endParaRPr>
                  </a:p>
                </xdr:txBody>
              </xdr:sp>
            </xdr:grpSp>
            <xdr:grpSp>
              <xdr:nvGrpSpPr>
                <xdr:cNvPr id="275" name="Grupo 274">
                  <a:extLst>
                    <a:ext uri="{FF2B5EF4-FFF2-40B4-BE49-F238E27FC236}">
                      <a16:creationId xmlns:a16="http://schemas.microsoft.com/office/drawing/2014/main" id="{00000000-0008-0000-0800-000013010000}"/>
                    </a:ext>
                  </a:extLst>
                </xdr:cNvPr>
                <xdr:cNvGrpSpPr/>
              </xdr:nvGrpSpPr>
              <xdr:grpSpPr>
                <a:xfrm>
                  <a:off x="21838689" y="15671577"/>
                  <a:ext cx="825525" cy="275854"/>
                  <a:chOff x="21838689" y="15788044"/>
                  <a:chExt cx="825525" cy="275854"/>
                </a:xfrm>
              </xdr:grpSpPr>
              <xdr:sp macro="" textlink="">
                <xdr:nvSpPr>
                  <xdr:cNvPr id="276" name="CuadroTexto 275">
                    <a:extLst>
                      <a:ext uri="{FF2B5EF4-FFF2-40B4-BE49-F238E27FC236}">
                        <a16:creationId xmlns:a16="http://schemas.microsoft.com/office/drawing/2014/main" id="{00000000-0008-0000-0800-000014010000}"/>
                      </a:ext>
                    </a:extLst>
                  </xdr:cNvPr>
                  <xdr:cNvSpPr txBox="1"/>
                </xdr:nvSpPr>
                <xdr:spPr>
                  <a:xfrm>
                    <a:off x="21838689" y="15789980"/>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4">
                <xdr:nvSpPr>
                  <xdr:cNvPr id="277" name="Rectángulo 276">
                    <a:extLst>
                      <a:ext uri="{FF2B5EF4-FFF2-40B4-BE49-F238E27FC236}">
                        <a16:creationId xmlns:a16="http://schemas.microsoft.com/office/drawing/2014/main" id="{00000000-0008-0000-0800-00001501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2491AC04-87B5-4991-8DC1-BD19353F0014}"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24">
                <xdr:nvSpPr>
                  <xdr:cNvPr id="278" name="Rectángulo 277">
                    <a:extLst>
                      <a:ext uri="{FF2B5EF4-FFF2-40B4-BE49-F238E27FC236}">
                        <a16:creationId xmlns:a16="http://schemas.microsoft.com/office/drawing/2014/main" id="{00000000-0008-0000-0800-00001601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8AFF456C-7794-4C48-A119-F5EAB382F4B5}" type="TxLink">
                      <a:rPr lang="en-US" sz="1100" b="1" i="0" u="none" strike="noStrike">
                        <a:solidFill>
                          <a:srgbClr val="FFFF00"/>
                        </a:solidFill>
                        <a:latin typeface="Century Gothic"/>
                      </a:rPr>
                      <a:pPr algn="ctr"/>
                      <a:t>8</a:t>
                    </a:fld>
                    <a:endParaRPr lang="es-CO" sz="1100" b="1">
                      <a:solidFill>
                        <a:srgbClr val="FFFF00"/>
                      </a:solidFill>
                    </a:endParaRPr>
                  </a:p>
                </xdr:txBody>
              </xdr:sp>
            </xdr:grpSp>
          </xdr:grpSp>
          <xdr:grpSp>
            <xdr:nvGrpSpPr>
              <xdr:cNvPr id="256" name="Grupo 255">
                <a:extLst>
                  <a:ext uri="{FF2B5EF4-FFF2-40B4-BE49-F238E27FC236}">
                    <a16:creationId xmlns:a16="http://schemas.microsoft.com/office/drawing/2014/main" id="{00000000-0008-0000-0800-000000010000}"/>
                  </a:ext>
                </a:extLst>
              </xdr:cNvPr>
              <xdr:cNvGrpSpPr/>
            </xdr:nvGrpSpPr>
            <xdr:grpSpPr>
              <a:xfrm>
                <a:off x="18752551" y="14897972"/>
                <a:ext cx="2163185" cy="762473"/>
                <a:chOff x="18715620" y="14890129"/>
                <a:chExt cx="2158192" cy="770257"/>
              </a:xfrm>
            </xdr:grpSpPr>
            <xdr:grpSp>
              <xdr:nvGrpSpPr>
                <xdr:cNvPr id="266" name="Grupo 265">
                  <a:extLst>
                    <a:ext uri="{FF2B5EF4-FFF2-40B4-BE49-F238E27FC236}">
                      <a16:creationId xmlns:a16="http://schemas.microsoft.com/office/drawing/2014/main" id="{00000000-0008-0000-0800-00000A010000}"/>
                    </a:ext>
                  </a:extLst>
                </xdr:cNvPr>
                <xdr:cNvGrpSpPr/>
              </xdr:nvGrpSpPr>
              <xdr:grpSpPr>
                <a:xfrm>
                  <a:off x="18715620" y="14890129"/>
                  <a:ext cx="2158192" cy="753182"/>
                  <a:chOff x="28351843" y="12458683"/>
                  <a:chExt cx="2160000" cy="726638"/>
                </a:xfrm>
              </xdr:grpSpPr>
              <xdr:sp macro="" textlink="">
                <xdr:nvSpPr>
                  <xdr:cNvPr id="271" name="Cheurón 270">
                    <a:extLst>
                      <a:ext uri="{FF2B5EF4-FFF2-40B4-BE49-F238E27FC236}">
                        <a16:creationId xmlns:a16="http://schemas.microsoft.com/office/drawing/2014/main" id="{00000000-0008-0000-0800-00000F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72" name="CuadroTexto 271">
                    <a:extLst>
                      <a:ext uri="{FF2B5EF4-FFF2-40B4-BE49-F238E27FC236}">
                        <a16:creationId xmlns:a16="http://schemas.microsoft.com/office/drawing/2014/main" id="{00000000-0008-0000-0800-000010010000}"/>
                      </a:ext>
                    </a:extLst>
                  </xdr:cNvPr>
                  <xdr:cNvSpPr txBox="1"/>
                </xdr:nvSpPr>
                <xdr:spPr>
                  <a:xfrm>
                    <a:off x="28393960"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W$27">
                <xdr:nvSpPr>
                  <xdr:cNvPr id="273" name="Rectángulo redondeado 272">
                    <a:extLst>
                      <a:ext uri="{FF2B5EF4-FFF2-40B4-BE49-F238E27FC236}">
                        <a16:creationId xmlns:a16="http://schemas.microsoft.com/office/drawing/2014/main" id="{00000000-0008-0000-0800-000011010000}"/>
                      </a:ext>
                    </a:extLst>
                  </xdr:cNvPr>
                  <xdr:cNvSpPr/>
                </xdr:nvSpPr>
                <xdr:spPr>
                  <a:xfrm>
                    <a:off x="29557264"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0EFBB3-161E-405B-AF5B-445BC19AB5FD}" type="TxLink">
                      <a:rPr lang="en-US" sz="1600" b="1" i="0" u="none" strike="noStrike">
                        <a:solidFill>
                          <a:srgbClr val="FFFF00"/>
                        </a:solidFill>
                        <a:latin typeface="Century Gothic"/>
                      </a:rPr>
                      <a:pPr algn="ctr"/>
                      <a:t>-</a:t>
                    </a:fld>
                    <a:endParaRPr lang="es-CO" sz="5400">
                      <a:solidFill>
                        <a:srgbClr val="FFFF00"/>
                      </a:solidFill>
                    </a:endParaRPr>
                  </a:p>
                </xdr:txBody>
              </xdr:sp>
            </xdr:grpSp>
            <xdr:grpSp>
              <xdr:nvGrpSpPr>
                <xdr:cNvPr id="267" name="Grupo 266">
                  <a:extLst>
                    <a:ext uri="{FF2B5EF4-FFF2-40B4-BE49-F238E27FC236}">
                      <a16:creationId xmlns:a16="http://schemas.microsoft.com/office/drawing/2014/main" id="{00000000-0008-0000-0800-00000B010000}"/>
                    </a:ext>
                  </a:extLst>
                </xdr:cNvPr>
                <xdr:cNvGrpSpPr/>
              </xdr:nvGrpSpPr>
              <xdr:grpSpPr>
                <a:xfrm>
                  <a:off x="19931955" y="15376835"/>
                  <a:ext cx="826488" cy="283551"/>
                  <a:chOff x="19914637" y="16582951"/>
                  <a:chExt cx="825525" cy="275854"/>
                </a:xfrm>
              </xdr:grpSpPr>
              <xdr:sp macro="" textlink="">
                <xdr:nvSpPr>
                  <xdr:cNvPr id="268" name="CuadroTexto 267">
                    <a:extLst>
                      <a:ext uri="{FF2B5EF4-FFF2-40B4-BE49-F238E27FC236}">
                        <a16:creationId xmlns:a16="http://schemas.microsoft.com/office/drawing/2014/main" id="{00000000-0008-0000-0800-00000C010000}"/>
                      </a:ext>
                    </a:extLst>
                  </xdr:cNvPr>
                  <xdr:cNvSpPr txBox="1"/>
                </xdr:nvSpPr>
                <xdr:spPr>
                  <a:xfrm>
                    <a:off x="19914637" y="1658488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7">
                <xdr:nvSpPr>
                  <xdr:cNvPr id="269" name="Rectángulo 268">
                    <a:extLst>
                      <a:ext uri="{FF2B5EF4-FFF2-40B4-BE49-F238E27FC236}">
                        <a16:creationId xmlns:a16="http://schemas.microsoft.com/office/drawing/2014/main" id="{00000000-0008-0000-0800-00000D010000}"/>
                      </a:ext>
                    </a:extLst>
                  </xdr:cNvPr>
                  <xdr:cNvSpPr/>
                </xdr:nvSpPr>
                <xdr:spPr>
                  <a:xfrm>
                    <a:off x="19967342" y="1658295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250CA86-4A51-454F-BAEE-0667B8EE53F7}"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L$27">
                <xdr:nvSpPr>
                  <xdr:cNvPr id="270" name="Rectángulo 269">
                    <a:extLst>
                      <a:ext uri="{FF2B5EF4-FFF2-40B4-BE49-F238E27FC236}">
                        <a16:creationId xmlns:a16="http://schemas.microsoft.com/office/drawing/2014/main" id="{00000000-0008-0000-0800-00000E010000}"/>
                      </a:ext>
                    </a:extLst>
                  </xdr:cNvPr>
                  <xdr:cNvSpPr/>
                </xdr:nvSpPr>
                <xdr:spPr>
                  <a:xfrm>
                    <a:off x="20253338" y="1658295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D2B9AB0-6F39-417E-812F-50EA29C95D35}" type="TxLink">
                      <a:rPr lang="en-US" sz="1100" b="1" i="0" u="none" strike="noStrike">
                        <a:solidFill>
                          <a:srgbClr val="FFFF00"/>
                        </a:solidFill>
                        <a:latin typeface="Century Gothic"/>
                      </a:rPr>
                      <a:pPr algn="ctr"/>
                      <a:t>-</a:t>
                    </a:fld>
                    <a:endParaRPr lang="es-CO" sz="1100" b="1">
                      <a:solidFill>
                        <a:srgbClr val="FFFF00"/>
                      </a:solidFill>
                    </a:endParaRPr>
                  </a:p>
                </xdr:txBody>
              </xdr:sp>
            </xdr:grpSp>
          </xdr:grpSp>
          <xdr:grpSp>
            <xdr:nvGrpSpPr>
              <xdr:cNvPr id="257" name="Grupo 256">
                <a:extLst>
                  <a:ext uri="{FF2B5EF4-FFF2-40B4-BE49-F238E27FC236}">
                    <a16:creationId xmlns:a16="http://schemas.microsoft.com/office/drawing/2014/main" id="{00000000-0008-0000-0800-000001010000}"/>
                  </a:ext>
                </a:extLst>
              </xdr:cNvPr>
              <xdr:cNvGrpSpPr/>
            </xdr:nvGrpSpPr>
            <xdr:grpSpPr>
              <a:xfrm>
                <a:off x="14836099" y="14892384"/>
                <a:ext cx="2163185" cy="768061"/>
                <a:chOff x="14808207" y="14884484"/>
                <a:chExt cx="2158192" cy="775902"/>
              </a:xfrm>
            </xdr:grpSpPr>
            <xdr:grpSp>
              <xdr:nvGrpSpPr>
                <xdr:cNvPr id="258" name="Grupo 257">
                  <a:extLst>
                    <a:ext uri="{FF2B5EF4-FFF2-40B4-BE49-F238E27FC236}">
                      <a16:creationId xmlns:a16="http://schemas.microsoft.com/office/drawing/2014/main" id="{00000000-0008-0000-0800-000002010000}"/>
                    </a:ext>
                  </a:extLst>
                </xdr:cNvPr>
                <xdr:cNvGrpSpPr/>
              </xdr:nvGrpSpPr>
              <xdr:grpSpPr>
                <a:xfrm>
                  <a:off x="14808207" y="14884484"/>
                  <a:ext cx="2158192" cy="753182"/>
                  <a:chOff x="28351843" y="12458683"/>
                  <a:chExt cx="2160000" cy="726638"/>
                </a:xfrm>
              </xdr:grpSpPr>
              <xdr:sp macro="" textlink="">
                <xdr:nvSpPr>
                  <xdr:cNvPr id="263" name="Cheurón 262">
                    <a:extLst>
                      <a:ext uri="{FF2B5EF4-FFF2-40B4-BE49-F238E27FC236}">
                        <a16:creationId xmlns:a16="http://schemas.microsoft.com/office/drawing/2014/main" id="{00000000-0008-0000-0800-000007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64" name="CuadroTexto 263">
                    <a:extLst>
                      <a:ext uri="{FF2B5EF4-FFF2-40B4-BE49-F238E27FC236}">
                        <a16:creationId xmlns:a16="http://schemas.microsoft.com/office/drawing/2014/main" id="{00000000-0008-0000-0800-000008010000}"/>
                      </a:ext>
                    </a:extLst>
                  </xdr:cNvPr>
                  <xdr:cNvSpPr txBox="1"/>
                </xdr:nvSpPr>
                <xdr:spPr>
                  <a:xfrm>
                    <a:off x="2840009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W$25">
                <xdr:nvSpPr>
                  <xdr:cNvPr id="265" name="Rectángulo redondeado 264">
                    <a:extLst>
                      <a:ext uri="{FF2B5EF4-FFF2-40B4-BE49-F238E27FC236}">
                        <a16:creationId xmlns:a16="http://schemas.microsoft.com/office/drawing/2014/main" id="{00000000-0008-0000-0800-000009010000}"/>
                      </a:ext>
                    </a:extLst>
                  </xdr:cNvPr>
                  <xdr:cNvSpPr/>
                </xdr:nvSpPr>
                <xdr:spPr>
                  <a:xfrm>
                    <a:off x="29553530"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96B9E0-9A5A-4AF3-B35F-78EFD2B66E59}"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259" name="Grupo 258">
                  <a:extLst>
                    <a:ext uri="{FF2B5EF4-FFF2-40B4-BE49-F238E27FC236}">
                      <a16:creationId xmlns:a16="http://schemas.microsoft.com/office/drawing/2014/main" id="{00000000-0008-0000-0800-000003010000}"/>
                    </a:ext>
                  </a:extLst>
                </xdr:cNvPr>
                <xdr:cNvGrpSpPr/>
              </xdr:nvGrpSpPr>
              <xdr:grpSpPr>
                <a:xfrm>
                  <a:off x="16014393" y="15376835"/>
                  <a:ext cx="825525" cy="283551"/>
                  <a:chOff x="16042294" y="16581216"/>
                  <a:chExt cx="825525" cy="275854"/>
                </a:xfrm>
              </xdr:grpSpPr>
              <xdr:sp macro="" textlink="">
                <xdr:nvSpPr>
                  <xdr:cNvPr id="260" name="CuadroTexto 259">
                    <a:extLst>
                      <a:ext uri="{FF2B5EF4-FFF2-40B4-BE49-F238E27FC236}">
                        <a16:creationId xmlns:a16="http://schemas.microsoft.com/office/drawing/2014/main" id="{00000000-0008-0000-0800-000004010000}"/>
                      </a:ext>
                    </a:extLst>
                  </xdr:cNvPr>
                  <xdr:cNvSpPr txBox="1"/>
                </xdr:nvSpPr>
                <xdr:spPr>
                  <a:xfrm>
                    <a:off x="16042294" y="1658315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5">
                <xdr:nvSpPr>
                  <xdr:cNvPr id="261" name="Rectángulo 260">
                    <a:extLst>
                      <a:ext uri="{FF2B5EF4-FFF2-40B4-BE49-F238E27FC236}">
                        <a16:creationId xmlns:a16="http://schemas.microsoft.com/office/drawing/2014/main" id="{00000000-0008-0000-0800-000005010000}"/>
                      </a:ext>
                    </a:extLst>
                  </xdr:cNvPr>
                  <xdr:cNvSpPr/>
                </xdr:nvSpPr>
                <xdr:spPr>
                  <a:xfrm>
                    <a:off x="16094999" y="1658121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7DE3F5E-64EF-4B3D-BEA1-B3D5DD9F9EFB}"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25">
                <xdr:nvSpPr>
                  <xdr:cNvPr id="262" name="Rectángulo 261">
                    <a:extLst>
                      <a:ext uri="{FF2B5EF4-FFF2-40B4-BE49-F238E27FC236}">
                        <a16:creationId xmlns:a16="http://schemas.microsoft.com/office/drawing/2014/main" id="{00000000-0008-0000-0800-000006010000}"/>
                      </a:ext>
                    </a:extLst>
                  </xdr:cNvPr>
                  <xdr:cNvSpPr/>
                </xdr:nvSpPr>
                <xdr:spPr>
                  <a:xfrm>
                    <a:off x="16380995" y="1658121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C7D9F87-8CCD-4AB5-87D1-04131D2737F5}" type="TxLink">
                      <a:rPr lang="en-US" sz="1100" b="1" i="0" u="none" strike="noStrike">
                        <a:solidFill>
                          <a:srgbClr val="FFFF00"/>
                        </a:solidFill>
                        <a:latin typeface="Century Gothic"/>
                      </a:rPr>
                      <a:pPr algn="ctr"/>
                      <a:t>9</a:t>
                    </a:fld>
                    <a:endParaRPr lang="es-CO" sz="1100" b="1">
                      <a:solidFill>
                        <a:srgbClr val="FFFF00"/>
                      </a:solidFill>
                    </a:endParaRPr>
                  </a:p>
                </xdr:txBody>
              </xdr:sp>
            </xdr:grpSp>
          </xdr:grpSp>
        </xdr:grpSp>
      </xdr:grpSp>
    </xdr:grpSp>
    <xdr:clientData/>
  </xdr:twoCellAnchor>
  <xdr:twoCellAnchor>
    <xdr:from>
      <xdr:col>10</xdr:col>
      <xdr:colOff>1280897</xdr:colOff>
      <xdr:row>33</xdr:row>
      <xdr:rowOff>137297</xdr:rowOff>
    </xdr:from>
    <xdr:to>
      <xdr:col>20</xdr:col>
      <xdr:colOff>373697</xdr:colOff>
      <xdr:row>71</xdr:row>
      <xdr:rowOff>53198</xdr:rowOff>
    </xdr:to>
    <xdr:grpSp>
      <xdr:nvGrpSpPr>
        <xdr:cNvPr id="478" name="Grupo 477">
          <a:extLst>
            <a:ext uri="{FF2B5EF4-FFF2-40B4-BE49-F238E27FC236}">
              <a16:creationId xmlns:a16="http://schemas.microsoft.com/office/drawing/2014/main" id="{00000000-0008-0000-0800-0000DE010000}"/>
            </a:ext>
          </a:extLst>
        </xdr:cNvPr>
        <xdr:cNvGrpSpPr/>
      </xdr:nvGrpSpPr>
      <xdr:grpSpPr>
        <a:xfrm>
          <a:off x="11499861" y="9594261"/>
          <a:ext cx="10985443" cy="7671973"/>
          <a:chOff x="11499861" y="9594261"/>
          <a:chExt cx="10985443" cy="7671973"/>
        </a:xfrm>
      </xdr:grpSpPr>
      <xdr:grpSp>
        <xdr:nvGrpSpPr>
          <xdr:cNvPr id="479" name="Grupo 478">
            <a:extLst>
              <a:ext uri="{FF2B5EF4-FFF2-40B4-BE49-F238E27FC236}">
                <a16:creationId xmlns:a16="http://schemas.microsoft.com/office/drawing/2014/main" id="{00000000-0008-0000-0800-0000DF010000}"/>
              </a:ext>
            </a:extLst>
          </xdr:cNvPr>
          <xdr:cNvGrpSpPr/>
        </xdr:nvGrpSpPr>
        <xdr:grpSpPr>
          <a:xfrm>
            <a:off x="11511521" y="9594261"/>
            <a:ext cx="10928940" cy="828060"/>
            <a:chOff x="23474890" y="9420678"/>
            <a:chExt cx="10923595" cy="858507"/>
          </a:xfrm>
        </xdr:grpSpPr>
        <xdr:sp macro="" textlink="">
          <xdr:nvSpPr>
            <xdr:cNvPr id="709" name="Rectángulo 708">
              <a:extLst>
                <a:ext uri="{FF2B5EF4-FFF2-40B4-BE49-F238E27FC236}">
                  <a16:creationId xmlns:a16="http://schemas.microsoft.com/office/drawing/2014/main" id="{00000000-0008-0000-0800-0000C5020000}"/>
                </a:ext>
              </a:extLst>
            </xdr:cNvPr>
            <xdr:cNvSpPr/>
          </xdr:nvSpPr>
          <xdr:spPr>
            <a:xfrm>
              <a:off x="23474890" y="9420678"/>
              <a:ext cx="9967123" cy="858507"/>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latin typeface="Century Gothic" panose="020B0502020202020204" pitchFamily="34" charset="0"/>
                </a:rPr>
                <a:t>PROPORCION DE ACCIONES DE MEJORA CUMPLIDAS DE LAS AUDITORÍAS CON ENFOQUE DE RIESGOS, ESE METROSALUD, 2019 - 2023</a:t>
              </a:r>
            </a:p>
          </xdr:txBody>
        </xdr:sp>
        <xdr:grpSp>
          <xdr:nvGrpSpPr>
            <xdr:cNvPr id="710" name="Grupo 709">
              <a:extLst>
                <a:ext uri="{FF2B5EF4-FFF2-40B4-BE49-F238E27FC236}">
                  <a16:creationId xmlns:a16="http://schemas.microsoft.com/office/drawing/2014/main" id="{00000000-0008-0000-0800-0000C6020000}"/>
                </a:ext>
              </a:extLst>
            </xdr:cNvPr>
            <xdr:cNvGrpSpPr/>
          </xdr:nvGrpSpPr>
          <xdr:grpSpPr>
            <a:xfrm>
              <a:off x="33484095" y="9420678"/>
              <a:ext cx="914390" cy="858507"/>
              <a:chOff x="21875553" y="10589079"/>
              <a:chExt cx="913163" cy="842845"/>
            </a:xfrm>
          </xdr:grpSpPr>
          <xdr:sp macro="" textlink="$T$32">
            <xdr:nvSpPr>
              <xdr:cNvPr id="711" name="Rectángulo 710">
                <a:extLst>
                  <a:ext uri="{FF2B5EF4-FFF2-40B4-BE49-F238E27FC236}">
                    <a16:creationId xmlns:a16="http://schemas.microsoft.com/office/drawing/2014/main" id="{00000000-0008-0000-0800-0000C7020000}"/>
                  </a:ext>
                </a:extLst>
              </xdr:cNvPr>
              <xdr:cNvSpPr/>
            </xdr:nvSpPr>
            <xdr:spPr>
              <a:xfrm>
                <a:off x="21875553"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85D49E2-9417-4908-B95E-0920E68470EF}" type="TxLink">
                  <a:rPr lang="en-US" sz="1800" b="1" i="0" u="none" strike="noStrike">
                    <a:solidFill>
                      <a:srgbClr val="000000"/>
                    </a:solidFill>
                    <a:latin typeface="Century Gothic"/>
                  </a:rPr>
                  <a:pPr algn="ctr"/>
                  <a:t>29,5%</a:t>
                </a:fld>
                <a:endParaRPr lang="es-CO" sz="11500">
                  <a:solidFill>
                    <a:schemeClr val="tx1">
                      <a:lumMod val="95000"/>
                      <a:lumOff val="5000"/>
                    </a:schemeClr>
                  </a:solidFill>
                </a:endParaRPr>
              </a:p>
            </xdr:txBody>
          </xdr:sp>
          <xdr:grpSp>
            <xdr:nvGrpSpPr>
              <xdr:cNvPr id="712" name="Grupo 711">
                <a:extLst>
                  <a:ext uri="{FF2B5EF4-FFF2-40B4-BE49-F238E27FC236}">
                    <a16:creationId xmlns:a16="http://schemas.microsoft.com/office/drawing/2014/main" id="{00000000-0008-0000-0800-0000C8020000}"/>
                  </a:ext>
                </a:extLst>
              </xdr:cNvPr>
              <xdr:cNvGrpSpPr/>
            </xdr:nvGrpSpPr>
            <xdr:grpSpPr>
              <a:xfrm>
                <a:off x="21876503" y="11129223"/>
                <a:ext cx="898782" cy="285384"/>
                <a:chOff x="21876503" y="11129223"/>
                <a:chExt cx="898782" cy="285384"/>
              </a:xfrm>
            </xdr:grpSpPr>
            <xdr:sp macro="" textlink="$N$32">
              <xdr:nvSpPr>
                <xdr:cNvPr id="713" name="Rectángulo 712">
                  <a:extLst>
                    <a:ext uri="{FF2B5EF4-FFF2-40B4-BE49-F238E27FC236}">
                      <a16:creationId xmlns:a16="http://schemas.microsoft.com/office/drawing/2014/main" id="{00000000-0008-0000-0800-0000C902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54568F-49CB-4CC2-84E5-D5DBEDF33A80}" type="TxLink">
                    <a:rPr lang="en-US" sz="1100" b="1" i="0" u="none" strike="noStrike">
                      <a:solidFill>
                        <a:srgbClr val="000000"/>
                      </a:solidFill>
                      <a:latin typeface="Century Gothic"/>
                    </a:rPr>
                    <a:pPr algn="ctr"/>
                    <a:t>72</a:t>
                  </a:fld>
                  <a:endParaRPr lang="es-CO" sz="1100">
                    <a:solidFill>
                      <a:schemeClr val="tx1">
                        <a:lumMod val="95000"/>
                        <a:lumOff val="5000"/>
                      </a:schemeClr>
                    </a:solidFill>
                  </a:endParaRPr>
                </a:p>
              </xdr:txBody>
            </xdr:sp>
            <xdr:sp macro="" textlink="">
              <xdr:nvSpPr>
                <xdr:cNvPr id="714" name="CuadroTexto 713">
                  <a:extLst>
                    <a:ext uri="{FF2B5EF4-FFF2-40B4-BE49-F238E27FC236}">
                      <a16:creationId xmlns:a16="http://schemas.microsoft.com/office/drawing/2014/main" id="{00000000-0008-0000-0800-0000CA020000}"/>
                    </a:ext>
                  </a:extLst>
                </xdr:cNvPr>
                <xdr:cNvSpPr txBox="1"/>
              </xdr:nvSpPr>
              <xdr:spPr>
                <a:xfrm>
                  <a:off x="21876503" y="11129223"/>
                  <a:ext cx="898782"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latin typeface="Century Gothic" panose="020B0502020202020204" pitchFamily="34" charset="0"/>
                    </a:rPr>
                    <a:t>(       /  </a:t>
                  </a:r>
                  <a:r>
                    <a:rPr lang="es-CO" sz="1100" i="0" baseline="0">
                      <a:latin typeface="Century Gothic" panose="020B0502020202020204" pitchFamily="34" charset="0"/>
                    </a:rPr>
                    <a:t>      </a:t>
                  </a:r>
                  <a:r>
                    <a:rPr lang="es-CO" sz="1100" i="0">
                      <a:latin typeface="Century Gothic" panose="020B0502020202020204" pitchFamily="34" charset="0"/>
                    </a:rPr>
                    <a:t>)</a:t>
                  </a:r>
                </a:p>
              </xdr:txBody>
            </xdr:sp>
            <xdr:sp macro="" textlink="$M$32">
              <xdr:nvSpPr>
                <xdr:cNvPr id="715" name="Rectángulo 714">
                  <a:extLst>
                    <a:ext uri="{FF2B5EF4-FFF2-40B4-BE49-F238E27FC236}">
                      <a16:creationId xmlns:a16="http://schemas.microsoft.com/office/drawing/2014/main" id="{00000000-0008-0000-0800-0000CB02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0323C6-3193-4F68-A332-90E704933A6C}" type="TxLink">
                    <a:rPr lang="en-US" sz="1100" b="1" i="0" u="none" strike="noStrike">
                      <a:solidFill>
                        <a:srgbClr val="000000"/>
                      </a:solidFill>
                      <a:latin typeface="Century Gothic"/>
                    </a:rPr>
                    <a:pPr algn="ctr"/>
                    <a:t>350</a:t>
                  </a:fld>
                  <a:endParaRPr lang="es-CO" sz="1100">
                    <a:solidFill>
                      <a:schemeClr val="tx1">
                        <a:lumMod val="95000"/>
                        <a:lumOff val="5000"/>
                      </a:schemeClr>
                    </a:solidFill>
                  </a:endParaRPr>
                </a:p>
              </xdr:txBody>
            </xdr:sp>
          </xdr:grpSp>
        </xdr:grpSp>
      </xdr:grpSp>
      <xdr:grpSp>
        <xdr:nvGrpSpPr>
          <xdr:cNvPr id="480" name="Grupo 479">
            <a:extLst>
              <a:ext uri="{FF2B5EF4-FFF2-40B4-BE49-F238E27FC236}">
                <a16:creationId xmlns:a16="http://schemas.microsoft.com/office/drawing/2014/main" id="{00000000-0008-0000-0800-0000E0010000}"/>
              </a:ext>
            </a:extLst>
          </xdr:cNvPr>
          <xdr:cNvGrpSpPr/>
        </xdr:nvGrpSpPr>
        <xdr:grpSpPr>
          <a:xfrm>
            <a:off x="11499861" y="10532426"/>
            <a:ext cx="10985443" cy="6733808"/>
            <a:chOff x="11499861" y="10532426"/>
            <a:chExt cx="10985443" cy="6733808"/>
          </a:xfrm>
        </xdr:grpSpPr>
        <xdr:sp macro="" textlink="">
          <xdr:nvSpPr>
            <xdr:cNvPr id="481" name="Rectángulo redondeado 480">
              <a:extLst>
                <a:ext uri="{FF2B5EF4-FFF2-40B4-BE49-F238E27FC236}">
                  <a16:creationId xmlns:a16="http://schemas.microsoft.com/office/drawing/2014/main" id="{00000000-0008-0000-0800-0000E1010000}"/>
                </a:ext>
              </a:extLst>
            </xdr:cNvPr>
            <xdr:cNvSpPr/>
          </xdr:nvSpPr>
          <xdr:spPr>
            <a:xfrm>
              <a:off x="11499861" y="10532426"/>
              <a:ext cx="10985443" cy="6733808"/>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82" name="Grupo 481">
              <a:extLst>
                <a:ext uri="{FF2B5EF4-FFF2-40B4-BE49-F238E27FC236}">
                  <a16:creationId xmlns:a16="http://schemas.microsoft.com/office/drawing/2014/main" id="{00000000-0008-0000-0800-0000E2010000}"/>
                </a:ext>
              </a:extLst>
            </xdr:cNvPr>
            <xdr:cNvGrpSpPr/>
          </xdr:nvGrpSpPr>
          <xdr:grpSpPr>
            <a:xfrm>
              <a:off x="11628297" y="10545796"/>
              <a:ext cx="10702250" cy="1610668"/>
              <a:chOff x="23591622" y="10409779"/>
              <a:chExt cx="10696947" cy="1670512"/>
            </a:xfrm>
          </xdr:grpSpPr>
          <xdr:sp macro="" textlink="">
            <xdr:nvSpPr>
              <xdr:cNvPr id="668" name="Flecha abajo 667">
                <a:extLst>
                  <a:ext uri="{FF2B5EF4-FFF2-40B4-BE49-F238E27FC236}">
                    <a16:creationId xmlns:a16="http://schemas.microsoft.com/office/drawing/2014/main" id="{00000000-0008-0000-0800-00009C020000}"/>
                  </a:ext>
                </a:extLst>
              </xdr:cNvPr>
              <xdr:cNvSpPr/>
            </xdr:nvSpPr>
            <xdr:spPr>
              <a:xfrm>
                <a:off x="28974618" y="11749159"/>
                <a:ext cx="468629" cy="297131"/>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69" name="Grupo 668">
                <a:extLst>
                  <a:ext uri="{FF2B5EF4-FFF2-40B4-BE49-F238E27FC236}">
                    <a16:creationId xmlns:a16="http://schemas.microsoft.com/office/drawing/2014/main" id="{00000000-0008-0000-0800-00009D020000}"/>
                  </a:ext>
                </a:extLst>
              </xdr:cNvPr>
              <xdr:cNvGrpSpPr/>
            </xdr:nvGrpSpPr>
            <xdr:grpSpPr>
              <a:xfrm>
                <a:off x="23591622" y="10409779"/>
                <a:ext cx="720000" cy="1670512"/>
                <a:chOff x="27309535" y="8324853"/>
                <a:chExt cx="719033" cy="1610348"/>
              </a:xfrm>
            </xdr:grpSpPr>
            <xdr:sp macro="" textlink="">
              <xdr:nvSpPr>
                <xdr:cNvPr id="707" name="Rectángulo 706">
                  <a:extLst>
                    <a:ext uri="{FF2B5EF4-FFF2-40B4-BE49-F238E27FC236}">
                      <a16:creationId xmlns:a16="http://schemas.microsoft.com/office/drawing/2014/main" id="{00000000-0008-0000-0800-0000C3020000}"/>
                    </a:ext>
                  </a:extLst>
                </xdr:cNvPr>
                <xdr:cNvSpPr/>
              </xdr:nvSpPr>
              <xdr:spPr>
                <a:xfrm>
                  <a:off x="27309535" y="8450034"/>
                  <a:ext cx="719033"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708" name="CuadroTexto 707">
                  <a:extLst>
                    <a:ext uri="{FF2B5EF4-FFF2-40B4-BE49-F238E27FC236}">
                      <a16:creationId xmlns:a16="http://schemas.microsoft.com/office/drawing/2014/main" id="{00000000-0008-0000-0800-0000C4020000}"/>
                    </a:ext>
                  </a:extLst>
                </xdr:cNvPr>
                <xdr:cNvSpPr txBox="1"/>
              </xdr:nvSpPr>
              <xdr:spPr>
                <a:xfrm rot="16200000">
                  <a:off x="26864250"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grpSp>
            <xdr:nvGrpSpPr>
              <xdr:cNvPr id="670" name="Grupo 669">
                <a:extLst>
                  <a:ext uri="{FF2B5EF4-FFF2-40B4-BE49-F238E27FC236}">
                    <a16:creationId xmlns:a16="http://schemas.microsoft.com/office/drawing/2014/main" id="{00000000-0008-0000-0800-00009E020000}"/>
                  </a:ext>
                </a:extLst>
              </xdr:cNvPr>
              <xdr:cNvGrpSpPr/>
            </xdr:nvGrpSpPr>
            <xdr:grpSpPr>
              <a:xfrm>
                <a:off x="24387792" y="10902423"/>
                <a:ext cx="2626610" cy="764587"/>
                <a:chOff x="12791456" y="12043791"/>
                <a:chExt cx="2623086" cy="750638"/>
              </a:xfrm>
            </xdr:grpSpPr>
            <xdr:grpSp>
              <xdr:nvGrpSpPr>
                <xdr:cNvPr id="698" name="Grupo 697">
                  <a:extLst>
                    <a:ext uri="{FF2B5EF4-FFF2-40B4-BE49-F238E27FC236}">
                      <a16:creationId xmlns:a16="http://schemas.microsoft.com/office/drawing/2014/main" id="{00000000-0008-0000-0800-0000BA020000}"/>
                    </a:ext>
                  </a:extLst>
                </xdr:cNvPr>
                <xdr:cNvGrpSpPr/>
              </xdr:nvGrpSpPr>
              <xdr:grpSpPr>
                <a:xfrm>
                  <a:off x="12791456" y="12043791"/>
                  <a:ext cx="2623086" cy="734845"/>
                  <a:chOff x="12791456" y="12043791"/>
                  <a:chExt cx="2623086" cy="734845"/>
                </a:xfrm>
              </xdr:grpSpPr>
              <xdr:grpSp>
                <xdr:nvGrpSpPr>
                  <xdr:cNvPr id="703" name="Grupo 702">
                    <a:extLst>
                      <a:ext uri="{FF2B5EF4-FFF2-40B4-BE49-F238E27FC236}">
                        <a16:creationId xmlns:a16="http://schemas.microsoft.com/office/drawing/2014/main" id="{00000000-0008-0000-0800-0000BF020000}"/>
                      </a:ext>
                    </a:extLst>
                  </xdr:cNvPr>
                  <xdr:cNvGrpSpPr/>
                </xdr:nvGrpSpPr>
                <xdr:grpSpPr>
                  <a:xfrm>
                    <a:off x="12791456" y="12043791"/>
                    <a:ext cx="2623086" cy="734845"/>
                    <a:chOff x="12791456" y="12043791"/>
                    <a:chExt cx="2623086" cy="734845"/>
                  </a:xfrm>
                </xdr:grpSpPr>
                <xdr:sp macro="" textlink="">
                  <xdr:nvSpPr>
                    <xdr:cNvPr id="705" name="Cheurón 704">
                      <a:extLst>
                        <a:ext uri="{FF2B5EF4-FFF2-40B4-BE49-F238E27FC236}">
                          <a16:creationId xmlns:a16="http://schemas.microsoft.com/office/drawing/2014/main" id="{00000000-0008-0000-0800-0000C1020000}"/>
                        </a:ext>
                      </a:extLst>
                    </xdr:cNvPr>
                    <xdr:cNvSpPr/>
                  </xdr:nvSpPr>
                  <xdr:spPr>
                    <a:xfrm>
                      <a:off x="12791456" y="12043791"/>
                      <a:ext cx="2623086" cy="734845"/>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06" name="CuadroTexto 705">
                      <a:extLst>
                        <a:ext uri="{FF2B5EF4-FFF2-40B4-BE49-F238E27FC236}">
                          <a16:creationId xmlns:a16="http://schemas.microsoft.com/office/drawing/2014/main" id="{00000000-0008-0000-0800-0000C2020000}"/>
                        </a:ext>
                      </a:extLst>
                    </xdr:cNvPr>
                    <xdr:cNvSpPr txBox="1"/>
                  </xdr:nvSpPr>
                  <xdr:spPr>
                    <a:xfrm>
                      <a:off x="12990347" y="12201748"/>
                      <a:ext cx="1710407" cy="44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grpSp>
              <xdr:sp macro="" textlink="$T$6">
                <xdr:nvSpPr>
                  <xdr:cNvPr id="704" name="Rectángulo redondeado 703">
                    <a:extLst>
                      <a:ext uri="{FF2B5EF4-FFF2-40B4-BE49-F238E27FC236}">
                        <a16:creationId xmlns:a16="http://schemas.microsoft.com/office/drawing/2014/main" id="{00000000-0008-0000-0800-0000C0020000}"/>
                      </a:ext>
                    </a:extLst>
                  </xdr:cNvPr>
                  <xdr:cNvSpPr/>
                </xdr:nvSpPr>
                <xdr:spPr>
                  <a:xfrm>
                    <a:off x="14441374" y="12157963"/>
                    <a:ext cx="934250" cy="5126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0B9951-99AD-4B57-9599-F5F4DFD51AE4}" type="TxLink">
                      <a:rPr lang="en-US" sz="1600" b="1" i="0" u="none" strike="noStrike">
                        <a:solidFill>
                          <a:srgbClr val="FFFF00"/>
                        </a:solidFill>
                        <a:latin typeface="Century Gothic"/>
                      </a:rPr>
                      <a:pPr algn="ctr"/>
                      <a:t>-</a:t>
                    </a:fld>
                    <a:endParaRPr lang="es-CO" sz="3200">
                      <a:solidFill>
                        <a:srgbClr val="FFFF00"/>
                      </a:solidFill>
                    </a:endParaRPr>
                  </a:p>
                </xdr:txBody>
              </xdr:sp>
            </xdr:grpSp>
            <xdr:grpSp>
              <xdr:nvGrpSpPr>
                <xdr:cNvPr id="699" name="Grupo 698">
                  <a:extLst>
                    <a:ext uri="{FF2B5EF4-FFF2-40B4-BE49-F238E27FC236}">
                      <a16:creationId xmlns:a16="http://schemas.microsoft.com/office/drawing/2014/main" id="{00000000-0008-0000-0800-0000BB020000}"/>
                    </a:ext>
                  </a:extLst>
                </xdr:cNvPr>
                <xdr:cNvGrpSpPr/>
              </xdr:nvGrpSpPr>
              <xdr:grpSpPr>
                <a:xfrm>
                  <a:off x="14430066" y="12513583"/>
                  <a:ext cx="828000" cy="280846"/>
                  <a:chOff x="14416675" y="12646385"/>
                  <a:chExt cx="828000" cy="280846"/>
                </a:xfrm>
              </xdr:grpSpPr>
              <xdr:sp macro="" textlink="$N$6">
                <xdr:nvSpPr>
                  <xdr:cNvPr id="700" name="Rectángulo 699">
                    <a:extLst>
                      <a:ext uri="{FF2B5EF4-FFF2-40B4-BE49-F238E27FC236}">
                        <a16:creationId xmlns:a16="http://schemas.microsoft.com/office/drawing/2014/main" id="{00000000-0008-0000-0800-0000BC020000}"/>
                      </a:ext>
                    </a:extLst>
                  </xdr:cNvPr>
                  <xdr:cNvSpPr/>
                </xdr:nvSpPr>
                <xdr:spPr>
                  <a:xfrm>
                    <a:off x="14471420"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8309385-39F2-4D7C-8A93-448A93CE4AC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6">
                <xdr:nvSpPr>
                  <xdr:cNvPr id="701" name="Rectángulo 700">
                    <a:extLst>
                      <a:ext uri="{FF2B5EF4-FFF2-40B4-BE49-F238E27FC236}">
                        <a16:creationId xmlns:a16="http://schemas.microsoft.com/office/drawing/2014/main" id="{00000000-0008-0000-0800-0000BD020000}"/>
                      </a:ext>
                    </a:extLst>
                  </xdr:cNvPr>
                  <xdr:cNvSpPr/>
                </xdr:nvSpPr>
                <xdr:spPr>
                  <a:xfrm>
                    <a:off x="14766080"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9E36D7-6AA5-4208-90AA-B4970FB85D9D}" type="TxLink">
                      <a:rPr lang="en-US" sz="1100" b="1" i="0" u="none" strike="noStrike">
                        <a:solidFill>
                          <a:srgbClr val="FFFF00"/>
                        </a:solidFill>
                        <a:latin typeface="Century Gothic"/>
                      </a:rPr>
                      <a:pPr algn="ctr"/>
                      <a:t>11</a:t>
                    </a:fld>
                    <a:endParaRPr lang="es-CO" sz="1100" b="1">
                      <a:solidFill>
                        <a:srgbClr val="FFFF00"/>
                      </a:solidFill>
                    </a:endParaRPr>
                  </a:p>
                </xdr:txBody>
              </xdr:sp>
              <xdr:sp macro="" textlink="">
                <xdr:nvSpPr>
                  <xdr:cNvPr id="702" name="CuadroTexto 701">
                    <a:extLst>
                      <a:ext uri="{FF2B5EF4-FFF2-40B4-BE49-F238E27FC236}">
                        <a16:creationId xmlns:a16="http://schemas.microsoft.com/office/drawing/2014/main" id="{00000000-0008-0000-0800-0000BE020000}"/>
                      </a:ext>
                    </a:extLst>
                  </xdr:cNvPr>
                  <xdr:cNvSpPr txBox="1"/>
                </xdr:nvSpPr>
                <xdr:spPr>
                  <a:xfrm>
                    <a:off x="14416675" y="12646385"/>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71" name="Grupo 670">
                <a:extLst>
                  <a:ext uri="{FF2B5EF4-FFF2-40B4-BE49-F238E27FC236}">
                    <a16:creationId xmlns:a16="http://schemas.microsoft.com/office/drawing/2014/main" id="{00000000-0008-0000-0800-00009F020000}"/>
                  </a:ext>
                </a:extLst>
              </xdr:cNvPr>
              <xdr:cNvGrpSpPr/>
            </xdr:nvGrpSpPr>
            <xdr:grpSpPr>
              <a:xfrm>
                <a:off x="26810879" y="10902423"/>
                <a:ext cx="2631533" cy="764587"/>
                <a:chOff x="15211291" y="12043791"/>
                <a:chExt cx="2628002" cy="750638"/>
              </a:xfrm>
            </xdr:grpSpPr>
            <xdr:grpSp>
              <xdr:nvGrpSpPr>
                <xdr:cNvPr id="690" name="Grupo 689">
                  <a:extLst>
                    <a:ext uri="{FF2B5EF4-FFF2-40B4-BE49-F238E27FC236}">
                      <a16:creationId xmlns:a16="http://schemas.microsoft.com/office/drawing/2014/main" id="{00000000-0008-0000-0800-0000B2020000}"/>
                    </a:ext>
                  </a:extLst>
                </xdr:cNvPr>
                <xdr:cNvGrpSpPr/>
              </xdr:nvGrpSpPr>
              <xdr:grpSpPr>
                <a:xfrm>
                  <a:off x="15211291" y="12043791"/>
                  <a:ext cx="2628002" cy="734845"/>
                  <a:chOff x="28594637" y="2081892"/>
                  <a:chExt cx="2433637" cy="585107"/>
                </a:xfrm>
              </xdr:grpSpPr>
              <xdr:sp macro="" textlink="">
                <xdr:nvSpPr>
                  <xdr:cNvPr id="695" name="Cheurón 694">
                    <a:extLst>
                      <a:ext uri="{FF2B5EF4-FFF2-40B4-BE49-F238E27FC236}">
                        <a16:creationId xmlns:a16="http://schemas.microsoft.com/office/drawing/2014/main" id="{00000000-0008-0000-0800-0000B702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96" name="CuadroTexto 695">
                    <a:extLst>
                      <a:ext uri="{FF2B5EF4-FFF2-40B4-BE49-F238E27FC236}">
                        <a16:creationId xmlns:a16="http://schemas.microsoft.com/office/drawing/2014/main" id="{00000000-0008-0000-0800-0000B8020000}"/>
                      </a:ext>
                    </a:extLst>
                  </xdr:cNvPr>
                  <xdr:cNvSpPr txBox="1"/>
                </xdr:nvSpPr>
                <xdr:spPr>
                  <a:xfrm>
                    <a:off x="2881925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T$7">
                <xdr:nvSpPr>
                  <xdr:cNvPr id="697" name="Rectángulo redondeado 696">
                    <a:extLst>
                      <a:ext uri="{FF2B5EF4-FFF2-40B4-BE49-F238E27FC236}">
                        <a16:creationId xmlns:a16="http://schemas.microsoft.com/office/drawing/2014/main" id="{00000000-0008-0000-0800-0000B9020000}"/>
                      </a:ext>
                    </a:extLst>
                  </xdr:cNvPr>
                  <xdr:cNvSpPr/>
                </xdr:nvSpPr>
                <xdr:spPr>
                  <a:xfrm>
                    <a:off x="30140480" y="2172799"/>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786A84D-ABA5-4E7C-9FA0-E1A17B8F17E5}" type="TxLink">
                      <a:rPr lang="en-US" sz="1600" b="1" i="0" u="none" strike="noStrike">
                        <a:solidFill>
                          <a:srgbClr val="FFFF00"/>
                        </a:solidFill>
                        <a:latin typeface="Century Gothic"/>
                      </a:rPr>
                      <a:pPr algn="ctr"/>
                      <a:t>85,7%</a:t>
                    </a:fld>
                    <a:endParaRPr lang="es-CO" sz="3200">
                      <a:solidFill>
                        <a:srgbClr val="FFFF00"/>
                      </a:solidFill>
                    </a:endParaRPr>
                  </a:p>
                </xdr:txBody>
              </xdr:sp>
            </xdr:grpSp>
            <xdr:grpSp>
              <xdr:nvGrpSpPr>
                <xdr:cNvPr id="691" name="Grupo 690">
                  <a:extLst>
                    <a:ext uri="{FF2B5EF4-FFF2-40B4-BE49-F238E27FC236}">
                      <a16:creationId xmlns:a16="http://schemas.microsoft.com/office/drawing/2014/main" id="{00000000-0008-0000-0800-0000B3020000}"/>
                    </a:ext>
                  </a:extLst>
                </xdr:cNvPr>
                <xdr:cNvGrpSpPr/>
              </xdr:nvGrpSpPr>
              <xdr:grpSpPr>
                <a:xfrm>
                  <a:off x="16855636" y="12514864"/>
                  <a:ext cx="828000" cy="279565"/>
                  <a:chOff x="16855636" y="12621689"/>
                  <a:chExt cx="828000" cy="279565"/>
                </a:xfrm>
              </xdr:grpSpPr>
              <xdr:sp macro="" textlink="$N$7">
                <xdr:nvSpPr>
                  <xdr:cNvPr id="692" name="Rectángulo 691">
                    <a:extLst>
                      <a:ext uri="{FF2B5EF4-FFF2-40B4-BE49-F238E27FC236}">
                        <a16:creationId xmlns:a16="http://schemas.microsoft.com/office/drawing/2014/main" id="{00000000-0008-0000-0800-0000B4020000}"/>
                      </a:ext>
                    </a:extLst>
                  </xdr:cNvPr>
                  <xdr:cNvSpPr/>
                </xdr:nvSpPr>
                <xdr:spPr>
                  <a:xfrm>
                    <a:off x="16903633"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92D54A-8F7C-408D-B315-6C8F37C6F287}"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M$7">
                <xdr:nvSpPr>
                  <xdr:cNvPr id="693" name="Rectángulo 692">
                    <a:extLst>
                      <a:ext uri="{FF2B5EF4-FFF2-40B4-BE49-F238E27FC236}">
                        <a16:creationId xmlns:a16="http://schemas.microsoft.com/office/drawing/2014/main" id="{00000000-0008-0000-0800-0000B5020000}"/>
                      </a:ext>
                    </a:extLst>
                  </xdr:cNvPr>
                  <xdr:cNvSpPr/>
                </xdr:nvSpPr>
                <xdr:spPr>
                  <a:xfrm>
                    <a:off x="17198288"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D4121E-8341-4120-9D06-475AD98AEC03}" type="TxLink">
                      <a:rPr lang="en-US" sz="1100" b="1" i="0" u="none" strike="noStrike">
                        <a:solidFill>
                          <a:srgbClr val="FFFF00"/>
                        </a:solidFill>
                        <a:latin typeface="Century Gothic"/>
                      </a:rPr>
                      <a:pPr algn="ctr"/>
                      <a:t>17</a:t>
                    </a:fld>
                    <a:endParaRPr lang="es-CO" sz="1100" b="1">
                      <a:solidFill>
                        <a:srgbClr val="FFFF00"/>
                      </a:solidFill>
                    </a:endParaRPr>
                  </a:p>
                </xdr:txBody>
              </xdr:sp>
              <xdr:sp macro="" textlink="">
                <xdr:nvSpPr>
                  <xdr:cNvPr id="694" name="CuadroTexto 693">
                    <a:extLst>
                      <a:ext uri="{FF2B5EF4-FFF2-40B4-BE49-F238E27FC236}">
                        <a16:creationId xmlns:a16="http://schemas.microsoft.com/office/drawing/2014/main" id="{00000000-0008-0000-0800-0000B6020000}"/>
                      </a:ext>
                    </a:extLst>
                  </xdr:cNvPr>
                  <xdr:cNvSpPr txBox="1"/>
                </xdr:nvSpPr>
                <xdr:spPr>
                  <a:xfrm>
                    <a:off x="16855636" y="12629068"/>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72" name="Grupo 671">
                <a:extLst>
                  <a:ext uri="{FF2B5EF4-FFF2-40B4-BE49-F238E27FC236}">
                    <a16:creationId xmlns:a16="http://schemas.microsoft.com/office/drawing/2014/main" id="{00000000-0008-0000-0800-0000A0020000}"/>
                  </a:ext>
                </a:extLst>
              </xdr:cNvPr>
              <xdr:cNvGrpSpPr/>
            </xdr:nvGrpSpPr>
            <xdr:grpSpPr>
              <a:xfrm>
                <a:off x="29238892" y="10902423"/>
                <a:ext cx="2626608" cy="769417"/>
                <a:chOff x="17636047" y="12043791"/>
                <a:chExt cx="2623084" cy="755380"/>
              </a:xfrm>
            </xdr:grpSpPr>
            <xdr:grpSp>
              <xdr:nvGrpSpPr>
                <xdr:cNvPr id="682" name="Grupo 681">
                  <a:extLst>
                    <a:ext uri="{FF2B5EF4-FFF2-40B4-BE49-F238E27FC236}">
                      <a16:creationId xmlns:a16="http://schemas.microsoft.com/office/drawing/2014/main" id="{00000000-0008-0000-0800-0000AA020000}"/>
                    </a:ext>
                  </a:extLst>
                </xdr:cNvPr>
                <xdr:cNvGrpSpPr/>
              </xdr:nvGrpSpPr>
              <xdr:grpSpPr>
                <a:xfrm>
                  <a:off x="17636047" y="12043791"/>
                  <a:ext cx="2623084" cy="734845"/>
                  <a:chOff x="28531632" y="2081892"/>
                  <a:chExt cx="2433638" cy="585107"/>
                </a:xfrm>
              </xdr:grpSpPr>
              <xdr:sp macro="" textlink="">
                <xdr:nvSpPr>
                  <xdr:cNvPr id="687" name="Cheurón 686">
                    <a:extLst>
                      <a:ext uri="{FF2B5EF4-FFF2-40B4-BE49-F238E27FC236}">
                        <a16:creationId xmlns:a16="http://schemas.microsoft.com/office/drawing/2014/main" id="{00000000-0008-0000-0800-0000AF02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88" name="CuadroTexto 687">
                    <a:extLst>
                      <a:ext uri="{FF2B5EF4-FFF2-40B4-BE49-F238E27FC236}">
                        <a16:creationId xmlns:a16="http://schemas.microsoft.com/office/drawing/2014/main" id="{00000000-0008-0000-0800-0000B0020000}"/>
                      </a:ext>
                    </a:extLst>
                  </xdr:cNvPr>
                  <xdr:cNvSpPr txBox="1"/>
                </xdr:nvSpPr>
                <xdr:spPr>
                  <a:xfrm>
                    <a:off x="28789623" y="2127664"/>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T$8">
                <xdr:nvSpPr>
                  <xdr:cNvPr id="689" name="Rectángulo redondeado 688">
                    <a:extLst>
                      <a:ext uri="{FF2B5EF4-FFF2-40B4-BE49-F238E27FC236}">
                        <a16:creationId xmlns:a16="http://schemas.microsoft.com/office/drawing/2014/main" id="{00000000-0008-0000-0800-0000B1020000}"/>
                      </a:ext>
                    </a:extLst>
                  </xdr:cNvPr>
                  <xdr:cNvSpPr/>
                </xdr:nvSpPr>
                <xdr:spPr>
                  <a:xfrm>
                    <a:off x="300900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1F6E5E-7D44-48F3-A52E-DE60B8763AD2}" type="TxLink">
                      <a:rPr lang="en-US" sz="1600" b="1" i="0" u="none" strike="noStrike">
                        <a:solidFill>
                          <a:srgbClr val="FFFF00"/>
                        </a:solidFill>
                        <a:latin typeface="Century Gothic"/>
                      </a:rPr>
                      <a:pPr algn="ctr"/>
                      <a:t>-</a:t>
                    </a:fld>
                    <a:endParaRPr lang="es-CO" sz="4800">
                      <a:solidFill>
                        <a:srgbClr val="FFFF00"/>
                      </a:solidFill>
                    </a:endParaRPr>
                  </a:p>
                </xdr:txBody>
              </xdr:sp>
            </xdr:grpSp>
            <xdr:grpSp>
              <xdr:nvGrpSpPr>
                <xdr:cNvPr id="683" name="Grupo 682">
                  <a:extLst>
                    <a:ext uri="{FF2B5EF4-FFF2-40B4-BE49-F238E27FC236}">
                      <a16:creationId xmlns:a16="http://schemas.microsoft.com/office/drawing/2014/main" id="{00000000-0008-0000-0800-0000AB020000}"/>
                    </a:ext>
                  </a:extLst>
                </xdr:cNvPr>
                <xdr:cNvGrpSpPr/>
              </xdr:nvGrpSpPr>
              <xdr:grpSpPr>
                <a:xfrm>
                  <a:off x="19306403" y="12514864"/>
                  <a:ext cx="828000" cy="284307"/>
                  <a:chOff x="19306403" y="12641831"/>
                  <a:chExt cx="828000" cy="284307"/>
                </a:xfrm>
              </xdr:grpSpPr>
              <xdr:sp macro="" textlink="$N$8">
                <xdr:nvSpPr>
                  <xdr:cNvPr id="684" name="Rectángulo 683">
                    <a:extLst>
                      <a:ext uri="{FF2B5EF4-FFF2-40B4-BE49-F238E27FC236}">
                        <a16:creationId xmlns:a16="http://schemas.microsoft.com/office/drawing/2014/main" id="{00000000-0008-0000-0800-0000AC020000}"/>
                      </a:ext>
                    </a:extLst>
                  </xdr:cNvPr>
                  <xdr:cNvSpPr/>
                </xdr:nvSpPr>
                <xdr:spPr>
                  <a:xfrm>
                    <a:off x="19354400"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B89987-AF06-4511-A027-DF43F0B38D0B}"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M$8">
                <xdr:nvSpPr>
                  <xdr:cNvPr id="685" name="Rectángulo 684">
                    <a:extLst>
                      <a:ext uri="{FF2B5EF4-FFF2-40B4-BE49-F238E27FC236}">
                        <a16:creationId xmlns:a16="http://schemas.microsoft.com/office/drawing/2014/main" id="{00000000-0008-0000-0800-0000AD020000}"/>
                      </a:ext>
                    </a:extLst>
                  </xdr:cNvPr>
                  <xdr:cNvSpPr/>
                </xdr:nvSpPr>
                <xdr:spPr>
                  <a:xfrm>
                    <a:off x="19649055"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1603F0-0DE9-401F-8BDC-A7147D0F7833}"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
                <xdr:nvSpPr>
                  <xdr:cNvPr id="686" name="CuadroTexto 685">
                    <a:extLst>
                      <a:ext uri="{FF2B5EF4-FFF2-40B4-BE49-F238E27FC236}">
                        <a16:creationId xmlns:a16="http://schemas.microsoft.com/office/drawing/2014/main" id="{00000000-0008-0000-0800-0000AE020000}"/>
                      </a:ext>
                    </a:extLst>
                  </xdr:cNvPr>
                  <xdr:cNvSpPr txBox="1"/>
                </xdr:nvSpPr>
                <xdr:spPr>
                  <a:xfrm>
                    <a:off x="19306403" y="12657868"/>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73" name="Grupo 672">
                <a:extLst>
                  <a:ext uri="{FF2B5EF4-FFF2-40B4-BE49-F238E27FC236}">
                    <a16:creationId xmlns:a16="http://schemas.microsoft.com/office/drawing/2014/main" id="{00000000-0008-0000-0800-0000A1020000}"/>
                  </a:ext>
                </a:extLst>
              </xdr:cNvPr>
              <xdr:cNvGrpSpPr/>
            </xdr:nvGrpSpPr>
            <xdr:grpSpPr>
              <a:xfrm>
                <a:off x="31661992" y="10902423"/>
                <a:ext cx="2626577" cy="764587"/>
                <a:chOff x="20055895" y="12043791"/>
                <a:chExt cx="2623053" cy="750638"/>
              </a:xfrm>
            </xdr:grpSpPr>
            <xdr:grpSp>
              <xdr:nvGrpSpPr>
                <xdr:cNvPr id="674" name="Grupo 673">
                  <a:extLst>
                    <a:ext uri="{FF2B5EF4-FFF2-40B4-BE49-F238E27FC236}">
                      <a16:creationId xmlns:a16="http://schemas.microsoft.com/office/drawing/2014/main" id="{00000000-0008-0000-0800-0000A2020000}"/>
                    </a:ext>
                  </a:extLst>
                </xdr:cNvPr>
                <xdr:cNvGrpSpPr/>
              </xdr:nvGrpSpPr>
              <xdr:grpSpPr>
                <a:xfrm>
                  <a:off x="20055895" y="12043791"/>
                  <a:ext cx="2623053" cy="734845"/>
                  <a:chOff x="28468627" y="2081892"/>
                  <a:chExt cx="2433638" cy="585107"/>
                </a:xfrm>
              </xdr:grpSpPr>
              <xdr:sp macro="" textlink="">
                <xdr:nvSpPr>
                  <xdr:cNvPr id="679" name="Cheurón 678">
                    <a:extLst>
                      <a:ext uri="{FF2B5EF4-FFF2-40B4-BE49-F238E27FC236}">
                        <a16:creationId xmlns:a16="http://schemas.microsoft.com/office/drawing/2014/main" id="{00000000-0008-0000-0800-0000A702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80" name="CuadroTexto 679">
                    <a:extLst>
                      <a:ext uri="{FF2B5EF4-FFF2-40B4-BE49-F238E27FC236}">
                        <a16:creationId xmlns:a16="http://schemas.microsoft.com/office/drawing/2014/main" id="{00000000-0008-0000-0800-0000A8020000}"/>
                      </a:ext>
                    </a:extLst>
                  </xdr:cNvPr>
                  <xdr:cNvSpPr txBox="1"/>
                </xdr:nvSpPr>
                <xdr:spPr>
                  <a:xfrm>
                    <a:off x="28782571"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T$9">
                <xdr:nvSpPr>
                  <xdr:cNvPr id="681" name="Rectángulo redondeado 680">
                    <a:extLst>
                      <a:ext uri="{FF2B5EF4-FFF2-40B4-BE49-F238E27FC236}">
                        <a16:creationId xmlns:a16="http://schemas.microsoft.com/office/drawing/2014/main" id="{00000000-0008-0000-0800-0000A9020000}"/>
                      </a:ext>
                    </a:extLst>
                  </xdr:cNvPr>
                  <xdr:cNvSpPr/>
                </xdr:nvSpPr>
                <xdr:spPr>
                  <a:xfrm>
                    <a:off x="30000728"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E93C2AF-D81D-456E-B62B-3976DEF494AE}" type="TxLink">
                      <a:rPr lang="en-US" sz="1600" b="1" i="0" u="none" strike="noStrike">
                        <a:solidFill>
                          <a:srgbClr val="FFFF00"/>
                        </a:solidFill>
                        <a:latin typeface="Century Gothic"/>
                      </a:rPr>
                      <a:pPr algn="ctr"/>
                      <a:t>90,9%</a:t>
                    </a:fld>
                    <a:endParaRPr lang="es-CO" sz="3200">
                      <a:solidFill>
                        <a:srgbClr val="FFFF00"/>
                      </a:solidFill>
                    </a:endParaRPr>
                  </a:p>
                </xdr:txBody>
              </xdr:sp>
            </xdr:grpSp>
            <xdr:grpSp>
              <xdr:nvGrpSpPr>
                <xdr:cNvPr id="675" name="Grupo 674">
                  <a:extLst>
                    <a:ext uri="{FF2B5EF4-FFF2-40B4-BE49-F238E27FC236}">
                      <a16:creationId xmlns:a16="http://schemas.microsoft.com/office/drawing/2014/main" id="{00000000-0008-0000-0800-0000A3020000}"/>
                    </a:ext>
                  </a:extLst>
                </xdr:cNvPr>
                <xdr:cNvGrpSpPr/>
              </xdr:nvGrpSpPr>
              <xdr:grpSpPr>
                <a:xfrm>
                  <a:off x="21697227" y="12513583"/>
                  <a:ext cx="825527" cy="280846"/>
                  <a:chOff x="21697227" y="12727140"/>
                  <a:chExt cx="825527" cy="280846"/>
                </a:xfrm>
              </xdr:grpSpPr>
              <xdr:sp macro="" textlink="$N$9">
                <xdr:nvSpPr>
                  <xdr:cNvPr id="676" name="Rectángulo 675">
                    <a:extLst>
                      <a:ext uri="{FF2B5EF4-FFF2-40B4-BE49-F238E27FC236}">
                        <a16:creationId xmlns:a16="http://schemas.microsoft.com/office/drawing/2014/main" id="{00000000-0008-0000-0800-0000A4020000}"/>
                      </a:ext>
                    </a:extLst>
                  </xdr:cNvPr>
                  <xdr:cNvSpPr/>
                </xdr:nvSpPr>
                <xdr:spPr>
                  <a:xfrm>
                    <a:off x="21745223" y="12728421"/>
                    <a:ext cx="429527"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3C4EFCE-D851-4F37-A5D2-0C96E6F6509B}" type="TxLink">
                      <a:rPr lang="en-US" sz="1100" b="1" i="0" u="none" strike="noStrike">
                        <a:solidFill>
                          <a:srgbClr val="FFFF00"/>
                        </a:solidFill>
                        <a:latin typeface="Century Gothic"/>
                      </a:rPr>
                      <a:pPr algn="ctr"/>
                      <a:t>10</a:t>
                    </a:fld>
                    <a:endParaRPr lang="es-CO" sz="1100" b="1">
                      <a:solidFill>
                        <a:srgbClr val="FFFF00"/>
                      </a:solidFill>
                    </a:endParaRPr>
                  </a:p>
                </xdr:txBody>
              </xdr:sp>
              <xdr:sp macro="" textlink="$M$9">
                <xdr:nvSpPr>
                  <xdr:cNvPr id="677" name="Rectángulo 676">
                    <a:extLst>
                      <a:ext uri="{FF2B5EF4-FFF2-40B4-BE49-F238E27FC236}">
                        <a16:creationId xmlns:a16="http://schemas.microsoft.com/office/drawing/2014/main" id="{00000000-0008-0000-0800-0000A5020000}"/>
                      </a:ext>
                    </a:extLst>
                  </xdr:cNvPr>
                  <xdr:cNvSpPr/>
                </xdr:nvSpPr>
                <xdr:spPr>
                  <a:xfrm>
                    <a:off x="22037405" y="12728421"/>
                    <a:ext cx="422475"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AC71A4-EB14-495A-8D1F-A70B64030A09}" type="TxLink">
                      <a:rPr lang="en-US" sz="1100" b="1" i="0" u="none" strike="noStrike">
                        <a:solidFill>
                          <a:srgbClr val="FFFF00"/>
                        </a:solidFill>
                        <a:latin typeface="Century Gothic"/>
                      </a:rPr>
                      <a:pPr algn="ctr"/>
                      <a:t>16</a:t>
                    </a:fld>
                    <a:endParaRPr lang="es-CO" sz="1100" b="1">
                      <a:solidFill>
                        <a:srgbClr val="FFFF00"/>
                      </a:solidFill>
                    </a:endParaRPr>
                  </a:p>
                </xdr:txBody>
              </xdr:sp>
              <xdr:sp macro="" textlink="">
                <xdr:nvSpPr>
                  <xdr:cNvPr id="678" name="CuadroTexto 677">
                    <a:extLst>
                      <a:ext uri="{FF2B5EF4-FFF2-40B4-BE49-F238E27FC236}">
                        <a16:creationId xmlns:a16="http://schemas.microsoft.com/office/drawing/2014/main" id="{00000000-0008-0000-0800-0000A6020000}"/>
                      </a:ext>
                    </a:extLst>
                  </xdr:cNvPr>
                  <xdr:cNvSpPr txBox="1"/>
                </xdr:nvSpPr>
                <xdr:spPr>
                  <a:xfrm>
                    <a:off x="21697227" y="12727140"/>
                    <a:ext cx="825527"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grpSp>
          <xdr:nvGrpSpPr>
            <xdr:cNvPr id="483" name="Grupo 482">
              <a:extLst>
                <a:ext uri="{FF2B5EF4-FFF2-40B4-BE49-F238E27FC236}">
                  <a16:creationId xmlns:a16="http://schemas.microsoft.com/office/drawing/2014/main" id="{00000000-0008-0000-0800-0000E3010000}"/>
                </a:ext>
              </a:extLst>
            </xdr:cNvPr>
            <xdr:cNvGrpSpPr/>
          </xdr:nvGrpSpPr>
          <xdr:grpSpPr>
            <a:xfrm>
              <a:off x="11614957" y="12172473"/>
              <a:ext cx="10748790" cy="1515792"/>
              <a:chOff x="23578289" y="12139226"/>
              <a:chExt cx="10743464" cy="1572111"/>
            </a:xfrm>
          </xdr:grpSpPr>
          <xdr:grpSp>
            <xdr:nvGrpSpPr>
              <xdr:cNvPr id="575" name="Grupo 574">
                <a:extLst>
                  <a:ext uri="{FF2B5EF4-FFF2-40B4-BE49-F238E27FC236}">
                    <a16:creationId xmlns:a16="http://schemas.microsoft.com/office/drawing/2014/main" id="{00000000-0008-0000-0800-00003F020000}"/>
                  </a:ext>
                </a:extLst>
              </xdr:cNvPr>
              <xdr:cNvGrpSpPr/>
            </xdr:nvGrpSpPr>
            <xdr:grpSpPr>
              <a:xfrm>
                <a:off x="24398491" y="12144861"/>
                <a:ext cx="2159944" cy="773877"/>
                <a:chOff x="12802141" y="13263561"/>
                <a:chExt cx="2157046" cy="759759"/>
              </a:xfrm>
            </xdr:grpSpPr>
            <xdr:grpSp>
              <xdr:nvGrpSpPr>
                <xdr:cNvPr id="660" name="Grupo 659">
                  <a:extLst>
                    <a:ext uri="{FF2B5EF4-FFF2-40B4-BE49-F238E27FC236}">
                      <a16:creationId xmlns:a16="http://schemas.microsoft.com/office/drawing/2014/main" id="{00000000-0008-0000-0800-000094020000}"/>
                    </a:ext>
                  </a:extLst>
                </xdr:cNvPr>
                <xdr:cNvGrpSpPr/>
              </xdr:nvGrpSpPr>
              <xdr:grpSpPr>
                <a:xfrm>
                  <a:off x="12802141" y="13263561"/>
                  <a:ext cx="2157046" cy="732326"/>
                  <a:chOff x="28686311" y="2081892"/>
                  <a:chExt cx="2000250" cy="585107"/>
                </a:xfrm>
              </xdr:grpSpPr>
              <xdr:sp macro="" textlink="">
                <xdr:nvSpPr>
                  <xdr:cNvPr id="665" name="Cheurón 664">
                    <a:extLst>
                      <a:ext uri="{FF2B5EF4-FFF2-40B4-BE49-F238E27FC236}">
                        <a16:creationId xmlns:a16="http://schemas.microsoft.com/office/drawing/2014/main" id="{00000000-0008-0000-0800-000099020000}"/>
                      </a:ext>
                    </a:extLst>
                  </xdr:cNvPr>
                  <xdr:cNvSpPr/>
                </xdr:nvSpPr>
                <xdr:spPr>
                  <a:xfrm>
                    <a:off x="2868631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66" name="CuadroTexto 665">
                    <a:extLst>
                      <a:ext uri="{FF2B5EF4-FFF2-40B4-BE49-F238E27FC236}">
                        <a16:creationId xmlns:a16="http://schemas.microsoft.com/office/drawing/2014/main" id="{00000000-0008-0000-0800-00009A020000}"/>
                      </a:ext>
                    </a:extLst>
                  </xdr:cNvPr>
                  <xdr:cNvSpPr txBox="1"/>
                </xdr:nvSpPr>
                <xdr:spPr>
                  <a:xfrm>
                    <a:off x="28878836" y="2159695"/>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T$10">
                <xdr:nvSpPr>
                  <xdr:cNvPr id="667" name="Rectángulo redondeado 666">
                    <a:extLst>
                      <a:ext uri="{FF2B5EF4-FFF2-40B4-BE49-F238E27FC236}">
                        <a16:creationId xmlns:a16="http://schemas.microsoft.com/office/drawing/2014/main" id="{00000000-0008-0000-0800-00009B020000}"/>
                      </a:ext>
                    </a:extLst>
                  </xdr:cNvPr>
                  <xdr:cNvSpPr/>
                </xdr:nvSpPr>
                <xdr:spPr>
                  <a:xfrm>
                    <a:off x="29808259" y="217277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66E2DA-ABC8-4664-AD65-5473D8E176D2}" type="TxLink">
                      <a:rPr lang="en-US" sz="1600" b="1" i="0" u="none" strike="noStrike">
                        <a:solidFill>
                          <a:srgbClr val="FFFF00"/>
                        </a:solidFill>
                        <a:latin typeface="Century Gothic"/>
                      </a:rPr>
                      <a:pPr algn="ctr"/>
                      <a:t>35,3%</a:t>
                    </a:fld>
                    <a:endParaRPr lang="es-CO" sz="3200">
                      <a:solidFill>
                        <a:srgbClr val="FFFF00"/>
                      </a:solidFill>
                    </a:endParaRPr>
                  </a:p>
                </xdr:txBody>
              </xdr:sp>
            </xdr:grpSp>
            <xdr:grpSp>
              <xdr:nvGrpSpPr>
                <xdr:cNvPr id="661" name="Grupo 660">
                  <a:extLst>
                    <a:ext uri="{FF2B5EF4-FFF2-40B4-BE49-F238E27FC236}">
                      <a16:creationId xmlns:a16="http://schemas.microsoft.com/office/drawing/2014/main" id="{00000000-0008-0000-0800-000095020000}"/>
                    </a:ext>
                  </a:extLst>
                </xdr:cNvPr>
                <xdr:cNvGrpSpPr/>
              </xdr:nvGrpSpPr>
              <xdr:grpSpPr>
                <a:xfrm>
                  <a:off x="14002235" y="13742491"/>
                  <a:ext cx="828000" cy="280829"/>
                  <a:chOff x="14028212" y="13855058"/>
                  <a:chExt cx="828000" cy="280829"/>
                </a:xfrm>
              </xdr:grpSpPr>
              <xdr:sp macro="" textlink="$N$10">
                <xdr:nvSpPr>
                  <xdr:cNvPr id="662" name="Rectángulo 661">
                    <a:extLst>
                      <a:ext uri="{FF2B5EF4-FFF2-40B4-BE49-F238E27FC236}">
                        <a16:creationId xmlns:a16="http://schemas.microsoft.com/office/drawing/2014/main" id="{00000000-0008-0000-0800-000096020000}"/>
                      </a:ext>
                    </a:extLst>
                  </xdr:cNvPr>
                  <xdr:cNvSpPr/>
                </xdr:nvSpPr>
                <xdr:spPr>
                  <a:xfrm>
                    <a:off x="14084867" y="1386003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50D1064-CC67-4F31-83B7-84C2B481D4E6}"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M$10">
                <xdr:nvSpPr>
                  <xdr:cNvPr id="663" name="Rectángulo 662">
                    <a:extLst>
                      <a:ext uri="{FF2B5EF4-FFF2-40B4-BE49-F238E27FC236}">
                        <a16:creationId xmlns:a16="http://schemas.microsoft.com/office/drawing/2014/main" id="{00000000-0008-0000-0800-000097020000}"/>
                      </a:ext>
                    </a:extLst>
                  </xdr:cNvPr>
                  <xdr:cNvSpPr/>
                </xdr:nvSpPr>
                <xdr:spPr>
                  <a:xfrm>
                    <a:off x="14362204" y="1386003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3F135DC-310D-40DB-8936-ABEDDE1B717A}" type="TxLink">
                      <a:rPr lang="en-US" sz="1100" b="1" i="0" u="none" strike="noStrike">
                        <a:solidFill>
                          <a:srgbClr val="FFFF00"/>
                        </a:solidFill>
                        <a:latin typeface="Century Gothic"/>
                      </a:rPr>
                      <a:pPr algn="ctr"/>
                      <a:t>17</a:t>
                    </a:fld>
                    <a:endParaRPr lang="es-CO" sz="1100" b="1">
                      <a:solidFill>
                        <a:srgbClr val="FFFF00"/>
                      </a:solidFill>
                    </a:endParaRPr>
                  </a:p>
                </xdr:txBody>
              </xdr:sp>
              <xdr:sp macro="" textlink="">
                <xdr:nvSpPr>
                  <xdr:cNvPr id="664" name="CuadroTexto 663">
                    <a:extLst>
                      <a:ext uri="{FF2B5EF4-FFF2-40B4-BE49-F238E27FC236}">
                        <a16:creationId xmlns:a16="http://schemas.microsoft.com/office/drawing/2014/main" id="{00000000-0008-0000-0800-000098020000}"/>
                      </a:ext>
                    </a:extLst>
                  </xdr:cNvPr>
                  <xdr:cNvSpPr txBox="1"/>
                </xdr:nvSpPr>
                <xdr:spPr>
                  <a:xfrm>
                    <a:off x="14028212" y="13855058"/>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76" name="Grupo 575">
                <a:extLst>
                  <a:ext uri="{FF2B5EF4-FFF2-40B4-BE49-F238E27FC236}">
                    <a16:creationId xmlns:a16="http://schemas.microsoft.com/office/drawing/2014/main" id="{00000000-0008-0000-0800-000040020000}"/>
                  </a:ext>
                </a:extLst>
              </xdr:cNvPr>
              <xdr:cNvGrpSpPr/>
            </xdr:nvGrpSpPr>
            <xdr:grpSpPr>
              <a:xfrm>
                <a:off x="26343270" y="12147683"/>
                <a:ext cx="2159946" cy="768033"/>
                <a:chOff x="14744310" y="13266331"/>
                <a:chExt cx="2157048" cy="754021"/>
              </a:xfrm>
            </xdr:grpSpPr>
            <xdr:grpSp>
              <xdr:nvGrpSpPr>
                <xdr:cNvPr id="652" name="Grupo 651">
                  <a:extLst>
                    <a:ext uri="{FF2B5EF4-FFF2-40B4-BE49-F238E27FC236}">
                      <a16:creationId xmlns:a16="http://schemas.microsoft.com/office/drawing/2014/main" id="{00000000-0008-0000-0800-00008C020000}"/>
                    </a:ext>
                  </a:extLst>
                </xdr:cNvPr>
                <xdr:cNvGrpSpPr/>
              </xdr:nvGrpSpPr>
              <xdr:grpSpPr>
                <a:xfrm>
                  <a:off x="14744310" y="13266331"/>
                  <a:ext cx="2157048" cy="732326"/>
                  <a:chOff x="28670251" y="2081892"/>
                  <a:chExt cx="2000250" cy="585107"/>
                </a:xfrm>
              </xdr:grpSpPr>
              <xdr:sp macro="" textlink="">
                <xdr:nvSpPr>
                  <xdr:cNvPr id="657" name="Cheurón 656">
                    <a:extLst>
                      <a:ext uri="{FF2B5EF4-FFF2-40B4-BE49-F238E27FC236}">
                        <a16:creationId xmlns:a16="http://schemas.microsoft.com/office/drawing/2014/main" id="{00000000-0008-0000-0800-000091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58" name="CuadroTexto 657">
                    <a:extLst>
                      <a:ext uri="{FF2B5EF4-FFF2-40B4-BE49-F238E27FC236}">
                        <a16:creationId xmlns:a16="http://schemas.microsoft.com/office/drawing/2014/main" id="{00000000-0008-0000-0800-000092020000}"/>
                      </a:ext>
                    </a:extLst>
                  </xdr:cNvPr>
                  <xdr:cNvSpPr txBox="1"/>
                </xdr:nvSpPr>
                <xdr:spPr>
                  <a:xfrm>
                    <a:off x="28867685" y="2166613"/>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T$11">
                <xdr:nvSpPr>
                  <xdr:cNvPr id="659" name="Rectángulo redondeado 658">
                    <a:extLst>
                      <a:ext uri="{FF2B5EF4-FFF2-40B4-BE49-F238E27FC236}">
                        <a16:creationId xmlns:a16="http://schemas.microsoft.com/office/drawing/2014/main" id="{00000000-0008-0000-0800-000093020000}"/>
                      </a:ext>
                    </a:extLst>
                  </xdr:cNvPr>
                  <xdr:cNvSpPr/>
                </xdr:nvSpPr>
                <xdr:spPr>
                  <a:xfrm>
                    <a:off x="29779599"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8539B5-D09A-41FA-8AAE-D37A811025E9}" type="TxLink">
                      <a:rPr lang="en-US" sz="1600" b="1" i="0" u="none" strike="noStrike">
                        <a:solidFill>
                          <a:srgbClr val="FFFF00"/>
                        </a:solidFill>
                        <a:latin typeface="Century Gothic"/>
                      </a:rPr>
                      <a:pPr algn="ctr"/>
                      <a:t>66,7%</a:t>
                    </a:fld>
                    <a:endParaRPr lang="es-CO" sz="3600">
                      <a:solidFill>
                        <a:srgbClr val="FFFF00"/>
                      </a:solidFill>
                    </a:endParaRPr>
                  </a:p>
                </xdr:txBody>
              </xdr:sp>
            </xdr:grpSp>
            <xdr:grpSp>
              <xdr:nvGrpSpPr>
                <xdr:cNvPr id="653" name="Grupo 652">
                  <a:extLst>
                    <a:ext uri="{FF2B5EF4-FFF2-40B4-BE49-F238E27FC236}">
                      <a16:creationId xmlns:a16="http://schemas.microsoft.com/office/drawing/2014/main" id="{00000000-0008-0000-0800-00008D020000}"/>
                    </a:ext>
                  </a:extLst>
                </xdr:cNvPr>
                <xdr:cNvGrpSpPr/>
              </xdr:nvGrpSpPr>
              <xdr:grpSpPr>
                <a:xfrm>
                  <a:off x="15935931" y="13737792"/>
                  <a:ext cx="828000" cy="282560"/>
                  <a:chOff x="16013862" y="13850359"/>
                  <a:chExt cx="828000" cy="282560"/>
                </a:xfrm>
              </xdr:grpSpPr>
              <xdr:sp macro="" textlink="$N$11">
                <xdr:nvSpPr>
                  <xdr:cNvPr id="654" name="Rectángulo 653">
                    <a:extLst>
                      <a:ext uri="{FF2B5EF4-FFF2-40B4-BE49-F238E27FC236}">
                        <a16:creationId xmlns:a16="http://schemas.microsoft.com/office/drawing/2014/main" id="{00000000-0008-0000-0800-00008E020000}"/>
                      </a:ext>
                    </a:extLst>
                  </xdr:cNvPr>
                  <xdr:cNvSpPr/>
                </xdr:nvSpPr>
                <xdr:spPr>
                  <a:xfrm>
                    <a:off x="16070517" y="13857065"/>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AABE93-BF0F-467A-BD02-701FA096E6C8}"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M$11">
                <xdr:nvSpPr>
                  <xdr:cNvPr id="655" name="Rectángulo 654">
                    <a:extLst>
                      <a:ext uri="{FF2B5EF4-FFF2-40B4-BE49-F238E27FC236}">
                        <a16:creationId xmlns:a16="http://schemas.microsoft.com/office/drawing/2014/main" id="{00000000-0008-0000-0800-00008F020000}"/>
                      </a:ext>
                    </a:extLst>
                  </xdr:cNvPr>
                  <xdr:cNvSpPr/>
                </xdr:nvSpPr>
                <xdr:spPr>
                  <a:xfrm>
                    <a:off x="16365172" y="13857065"/>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C572A5A-4081-41D9-96CC-FAE42C7C613E}"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
                <xdr:nvSpPr>
                  <xdr:cNvPr id="656" name="CuadroTexto 655">
                    <a:extLst>
                      <a:ext uri="{FF2B5EF4-FFF2-40B4-BE49-F238E27FC236}">
                        <a16:creationId xmlns:a16="http://schemas.microsoft.com/office/drawing/2014/main" id="{00000000-0008-0000-0800-000090020000}"/>
                      </a:ext>
                    </a:extLst>
                  </xdr:cNvPr>
                  <xdr:cNvSpPr txBox="1"/>
                </xdr:nvSpPr>
                <xdr:spPr>
                  <a:xfrm>
                    <a:off x="16013862" y="13850359"/>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77" name="Grupo 576">
                <a:extLst>
                  <a:ext uri="{FF2B5EF4-FFF2-40B4-BE49-F238E27FC236}">
                    <a16:creationId xmlns:a16="http://schemas.microsoft.com/office/drawing/2014/main" id="{00000000-0008-0000-0800-000041020000}"/>
                  </a:ext>
                </a:extLst>
              </xdr:cNvPr>
              <xdr:cNvGrpSpPr/>
            </xdr:nvGrpSpPr>
            <xdr:grpSpPr>
              <a:xfrm>
                <a:off x="28305356" y="12150503"/>
                <a:ext cx="2159945" cy="766600"/>
                <a:chOff x="16703763" y="13269100"/>
                <a:chExt cx="2157047" cy="752614"/>
              </a:xfrm>
            </xdr:grpSpPr>
            <xdr:grpSp>
              <xdr:nvGrpSpPr>
                <xdr:cNvPr id="644" name="Grupo 643">
                  <a:extLst>
                    <a:ext uri="{FF2B5EF4-FFF2-40B4-BE49-F238E27FC236}">
                      <a16:creationId xmlns:a16="http://schemas.microsoft.com/office/drawing/2014/main" id="{00000000-0008-0000-0800-000084020000}"/>
                    </a:ext>
                  </a:extLst>
                </xdr:cNvPr>
                <xdr:cNvGrpSpPr/>
              </xdr:nvGrpSpPr>
              <xdr:grpSpPr>
                <a:xfrm>
                  <a:off x="16703763" y="13269100"/>
                  <a:ext cx="2157047" cy="732326"/>
                  <a:chOff x="28670251" y="2081892"/>
                  <a:chExt cx="2000250" cy="585107"/>
                </a:xfrm>
              </xdr:grpSpPr>
              <xdr:sp macro="" textlink="">
                <xdr:nvSpPr>
                  <xdr:cNvPr id="649" name="Cheurón 648">
                    <a:extLst>
                      <a:ext uri="{FF2B5EF4-FFF2-40B4-BE49-F238E27FC236}">
                        <a16:creationId xmlns:a16="http://schemas.microsoft.com/office/drawing/2014/main" id="{00000000-0008-0000-0800-000089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50" name="CuadroTexto 649">
                    <a:extLst>
                      <a:ext uri="{FF2B5EF4-FFF2-40B4-BE49-F238E27FC236}">
                        <a16:creationId xmlns:a16="http://schemas.microsoft.com/office/drawing/2014/main" id="{00000000-0008-0000-0800-00008A020000}"/>
                      </a:ext>
                    </a:extLst>
                  </xdr:cNvPr>
                  <xdr:cNvSpPr txBox="1"/>
                </xdr:nvSpPr>
                <xdr:spPr>
                  <a:xfrm>
                    <a:off x="28872820" y="2159695"/>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T$12">
                <xdr:nvSpPr>
                  <xdr:cNvPr id="651" name="Rectángulo redondeado 650">
                    <a:extLst>
                      <a:ext uri="{FF2B5EF4-FFF2-40B4-BE49-F238E27FC236}">
                        <a16:creationId xmlns:a16="http://schemas.microsoft.com/office/drawing/2014/main" id="{00000000-0008-0000-0800-00008B020000}"/>
                      </a:ext>
                    </a:extLst>
                  </xdr:cNvPr>
                  <xdr:cNvSpPr/>
                </xdr:nvSpPr>
                <xdr:spPr>
                  <a:xfrm>
                    <a:off x="29784173"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5CD2E3D-4133-47B0-B021-A2CC5FCBA7ED}" type="TxLink">
                      <a:rPr lang="en-US" sz="1600" b="1" i="0" u="none" strike="noStrike">
                        <a:solidFill>
                          <a:srgbClr val="FFFF00"/>
                        </a:solidFill>
                        <a:latin typeface="Century Gothic"/>
                      </a:rPr>
                      <a:pPr algn="ctr"/>
                      <a:t>38,5%</a:t>
                    </a:fld>
                    <a:endParaRPr lang="es-CO" sz="3600">
                      <a:solidFill>
                        <a:srgbClr val="FFFF00"/>
                      </a:solidFill>
                    </a:endParaRPr>
                  </a:p>
                </xdr:txBody>
              </xdr:sp>
            </xdr:grpSp>
            <xdr:grpSp>
              <xdr:nvGrpSpPr>
                <xdr:cNvPr id="645" name="Grupo 644">
                  <a:extLst>
                    <a:ext uri="{FF2B5EF4-FFF2-40B4-BE49-F238E27FC236}">
                      <a16:creationId xmlns:a16="http://schemas.microsoft.com/office/drawing/2014/main" id="{00000000-0008-0000-0800-000085020000}"/>
                    </a:ext>
                  </a:extLst>
                </xdr:cNvPr>
                <xdr:cNvGrpSpPr/>
              </xdr:nvGrpSpPr>
              <xdr:grpSpPr>
                <a:xfrm>
                  <a:off x="17898080" y="13739156"/>
                  <a:ext cx="828000" cy="282558"/>
                  <a:chOff x="17993329" y="13851723"/>
                  <a:chExt cx="828000" cy="282558"/>
                </a:xfrm>
              </xdr:grpSpPr>
              <xdr:sp macro="" textlink="$N$12">
                <xdr:nvSpPr>
                  <xdr:cNvPr id="646" name="Rectángulo 645">
                    <a:extLst>
                      <a:ext uri="{FF2B5EF4-FFF2-40B4-BE49-F238E27FC236}">
                        <a16:creationId xmlns:a16="http://schemas.microsoft.com/office/drawing/2014/main" id="{00000000-0008-0000-0800-000086020000}"/>
                      </a:ext>
                    </a:extLst>
                  </xdr:cNvPr>
                  <xdr:cNvSpPr/>
                </xdr:nvSpPr>
                <xdr:spPr>
                  <a:xfrm>
                    <a:off x="18032666" y="1385842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833BADA-B405-4E3B-A849-85E188264100}" type="TxLink">
                      <a:rPr lang="en-US" sz="1100" b="1" i="0" u="none" strike="noStrike">
                        <a:solidFill>
                          <a:srgbClr val="FFFF00"/>
                        </a:solidFill>
                        <a:latin typeface="Century Gothic"/>
                      </a:rPr>
                      <a:pPr algn="ctr"/>
                      <a:t>5</a:t>
                    </a:fld>
                    <a:endParaRPr lang="es-CO" sz="1100" b="1">
                      <a:solidFill>
                        <a:srgbClr val="FFFF00"/>
                      </a:solidFill>
                    </a:endParaRPr>
                  </a:p>
                </xdr:txBody>
              </xdr:sp>
              <xdr:sp macro="" textlink="$M$12">
                <xdr:nvSpPr>
                  <xdr:cNvPr id="647" name="Rectángulo 646">
                    <a:extLst>
                      <a:ext uri="{FF2B5EF4-FFF2-40B4-BE49-F238E27FC236}">
                        <a16:creationId xmlns:a16="http://schemas.microsoft.com/office/drawing/2014/main" id="{00000000-0008-0000-0800-000087020000}"/>
                      </a:ext>
                    </a:extLst>
                  </xdr:cNvPr>
                  <xdr:cNvSpPr/>
                </xdr:nvSpPr>
                <xdr:spPr>
                  <a:xfrm>
                    <a:off x="18327321" y="1385842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C73458D-43D5-41BA-8EF0-548C95A8170C}"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648" name="CuadroTexto 647">
                    <a:extLst>
                      <a:ext uri="{FF2B5EF4-FFF2-40B4-BE49-F238E27FC236}">
                        <a16:creationId xmlns:a16="http://schemas.microsoft.com/office/drawing/2014/main" id="{00000000-0008-0000-0800-000088020000}"/>
                      </a:ext>
                    </a:extLst>
                  </xdr:cNvPr>
                  <xdr:cNvSpPr txBox="1"/>
                </xdr:nvSpPr>
                <xdr:spPr>
                  <a:xfrm>
                    <a:off x="17993329" y="13851723"/>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78" name="Grupo 577">
                <a:extLst>
                  <a:ext uri="{FF2B5EF4-FFF2-40B4-BE49-F238E27FC236}">
                    <a16:creationId xmlns:a16="http://schemas.microsoft.com/office/drawing/2014/main" id="{00000000-0008-0000-0800-000042020000}"/>
                  </a:ext>
                </a:extLst>
              </xdr:cNvPr>
              <xdr:cNvGrpSpPr/>
            </xdr:nvGrpSpPr>
            <xdr:grpSpPr>
              <a:xfrm>
                <a:off x="30253785" y="12139226"/>
                <a:ext cx="2143037" cy="786192"/>
                <a:chOff x="18649578" y="13258030"/>
                <a:chExt cx="2140161" cy="771849"/>
              </a:xfrm>
            </xdr:grpSpPr>
            <xdr:grpSp>
              <xdr:nvGrpSpPr>
                <xdr:cNvPr id="636" name="Grupo 635">
                  <a:extLst>
                    <a:ext uri="{FF2B5EF4-FFF2-40B4-BE49-F238E27FC236}">
                      <a16:creationId xmlns:a16="http://schemas.microsoft.com/office/drawing/2014/main" id="{00000000-0008-0000-0800-00007C020000}"/>
                    </a:ext>
                  </a:extLst>
                </xdr:cNvPr>
                <xdr:cNvGrpSpPr/>
              </xdr:nvGrpSpPr>
              <xdr:grpSpPr>
                <a:xfrm>
                  <a:off x="18649578" y="13258030"/>
                  <a:ext cx="2140161" cy="732326"/>
                  <a:chOff x="28670251" y="2081892"/>
                  <a:chExt cx="2025093" cy="585107"/>
                </a:xfrm>
              </xdr:grpSpPr>
              <xdr:sp macro="" textlink="">
                <xdr:nvSpPr>
                  <xdr:cNvPr id="641" name="Cheurón 640">
                    <a:extLst>
                      <a:ext uri="{FF2B5EF4-FFF2-40B4-BE49-F238E27FC236}">
                        <a16:creationId xmlns:a16="http://schemas.microsoft.com/office/drawing/2014/main" id="{00000000-0008-0000-0800-000081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42" name="CuadroTexto 641">
                    <a:extLst>
                      <a:ext uri="{FF2B5EF4-FFF2-40B4-BE49-F238E27FC236}">
                        <a16:creationId xmlns:a16="http://schemas.microsoft.com/office/drawing/2014/main" id="{00000000-0008-0000-0800-000082020000}"/>
                      </a:ext>
                    </a:extLst>
                  </xdr:cNvPr>
                  <xdr:cNvSpPr txBox="1"/>
                </xdr:nvSpPr>
                <xdr:spPr>
                  <a:xfrm>
                    <a:off x="28759318" y="2166613"/>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T$13">
                <xdr:nvSpPr>
                  <xdr:cNvPr id="643" name="Rectángulo redondeado 642">
                    <a:extLst>
                      <a:ext uri="{FF2B5EF4-FFF2-40B4-BE49-F238E27FC236}">
                        <a16:creationId xmlns:a16="http://schemas.microsoft.com/office/drawing/2014/main" id="{00000000-0008-0000-0800-000083020000}"/>
                      </a:ext>
                    </a:extLst>
                  </xdr:cNvPr>
                  <xdr:cNvSpPr/>
                </xdr:nvSpPr>
                <xdr:spPr>
                  <a:xfrm>
                    <a:off x="29810881" y="2176914"/>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08E5CBE-81A8-4547-9F47-38F99F12EDEA}"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37" name="Grupo 636">
                  <a:extLst>
                    <a:ext uri="{FF2B5EF4-FFF2-40B4-BE49-F238E27FC236}">
                      <a16:creationId xmlns:a16="http://schemas.microsoft.com/office/drawing/2014/main" id="{00000000-0008-0000-0800-00007D020000}"/>
                    </a:ext>
                  </a:extLst>
                </xdr:cNvPr>
                <xdr:cNvGrpSpPr/>
              </xdr:nvGrpSpPr>
              <xdr:grpSpPr>
                <a:xfrm>
                  <a:off x="19802083" y="13747311"/>
                  <a:ext cx="825525" cy="282568"/>
                  <a:chOff x="19905991" y="13859878"/>
                  <a:chExt cx="825525" cy="282568"/>
                </a:xfrm>
              </xdr:grpSpPr>
              <xdr:sp macro="" textlink="">
                <xdr:nvSpPr>
                  <xdr:cNvPr id="638" name="CuadroTexto 637">
                    <a:extLst>
                      <a:ext uri="{FF2B5EF4-FFF2-40B4-BE49-F238E27FC236}">
                        <a16:creationId xmlns:a16="http://schemas.microsoft.com/office/drawing/2014/main" id="{00000000-0008-0000-0800-00007E020000}"/>
                      </a:ext>
                    </a:extLst>
                  </xdr:cNvPr>
                  <xdr:cNvSpPr txBox="1"/>
                </xdr:nvSpPr>
                <xdr:spPr>
                  <a:xfrm>
                    <a:off x="19905991" y="1385987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13">
                <xdr:nvSpPr>
                  <xdr:cNvPr id="639" name="Rectángulo 638">
                    <a:extLst>
                      <a:ext uri="{FF2B5EF4-FFF2-40B4-BE49-F238E27FC236}">
                        <a16:creationId xmlns:a16="http://schemas.microsoft.com/office/drawing/2014/main" id="{00000000-0008-0000-0800-00007F020000}"/>
                      </a:ext>
                    </a:extLst>
                  </xdr:cNvPr>
                  <xdr:cNvSpPr/>
                </xdr:nvSpPr>
                <xdr:spPr>
                  <a:xfrm>
                    <a:off x="19958696" y="1386659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02A485B-1E5E-4062-B681-7068C951B479}" type="TxLink">
                      <a:rPr lang="en-US" sz="1100" b="1" i="0" u="none" strike="noStrike">
                        <a:solidFill>
                          <a:srgbClr val="FFFF00"/>
                        </a:solidFill>
                        <a:latin typeface="Century Gothic"/>
                      </a:rPr>
                      <a:pPr algn="ctr"/>
                      <a:t>0</a:t>
                    </a:fld>
                    <a:endParaRPr lang="es-CO" sz="1100" b="1" i="0">
                      <a:solidFill>
                        <a:srgbClr val="FFFF00"/>
                      </a:solidFill>
                    </a:endParaRPr>
                  </a:p>
                </xdr:txBody>
              </xdr:sp>
              <xdr:sp macro="" textlink="$M$13">
                <xdr:nvSpPr>
                  <xdr:cNvPr id="640" name="Rectángulo 639">
                    <a:extLst>
                      <a:ext uri="{FF2B5EF4-FFF2-40B4-BE49-F238E27FC236}">
                        <a16:creationId xmlns:a16="http://schemas.microsoft.com/office/drawing/2014/main" id="{00000000-0008-0000-0800-000080020000}"/>
                      </a:ext>
                    </a:extLst>
                  </xdr:cNvPr>
                  <xdr:cNvSpPr/>
                </xdr:nvSpPr>
                <xdr:spPr>
                  <a:xfrm>
                    <a:off x="20253351" y="1386659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B910BD1-3A60-4B2E-A7D6-5B871B9D3A7E}" type="TxLink">
                      <a:rPr lang="en-US" sz="1100" b="1" i="0" u="none" strike="noStrike">
                        <a:solidFill>
                          <a:srgbClr val="FFFF00"/>
                        </a:solidFill>
                        <a:latin typeface="Century Gothic"/>
                      </a:rPr>
                      <a:pPr algn="ctr"/>
                      <a:t>19</a:t>
                    </a:fld>
                    <a:endParaRPr lang="es-CO" sz="1100" b="1">
                      <a:solidFill>
                        <a:srgbClr val="FFFF00"/>
                      </a:solidFill>
                    </a:endParaRPr>
                  </a:p>
                </xdr:txBody>
              </xdr:sp>
            </xdr:grpSp>
          </xdr:grpSp>
          <xdr:grpSp>
            <xdr:nvGrpSpPr>
              <xdr:cNvPr id="579" name="Grupo 578">
                <a:extLst>
                  <a:ext uri="{FF2B5EF4-FFF2-40B4-BE49-F238E27FC236}">
                    <a16:creationId xmlns:a16="http://schemas.microsoft.com/office/drawing/2014/main" id="{00000000-0008-0000-0800-000043020000}"/>
                  </a:ext>
                </a:extLst>
              </xdr:cNvPr>
              <xdr:cNvGrpSpPr/>
            </xdr:nvGrpSpPr>
            <xdr:grpSpPr>
              <a:xfrm>
                <a:off x="23578289" y="12144874"/>
                <a:ext cx="720000" cy="1566463"/>
                <a:chOff x="27404782" y="8354785"/>
                <a:chExt cx="720020" cy="1512000"/>
              </a:xfrm>
            </xdr:grpSpPr>
            <xdr:sp macro="" textlink="">
              <xdr:nvSpPr>
                <xdr:cNvPr id="634" name="Rectángulo 633">
                  <a:extLst>
                    <a:ext uri="{FF2B5EF4-FFF2-40B4-BE49-F238E27FC236}">
                      <a16:creationId xmlns:a16="http://schemas.microsoft.com/office/drawing/2014/main" id="{00000000-0008-0000-0800-00007A020000}"/>
                    </a:ext>
                  </a:extLst>
                </xdr:cNvPr>
                <xdr:cNvSpPr/>
              </xdr:nvSpPr>
              <xdr:spPr>
                <a:xfrm>
                  <a:off x="27404782" y="8354785"/>
                  <a:ext cx="72002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35" name="CuadroTexto 634">
                  <a:extLst>
                    <a:ext uri="{FF2B5EF4-FFF2-40B4-BE49-F238E27FC236}">
                      <a16:creationId xmlns:a16="http://schemas.microsoft.com/office/drawing/2014/main" id="{00000000-0008-0000-0800-00007B020000}"/>
                    </a:ext>
                  </a:extLst>
                </xdr:cNvPr>
                <xdr:cNvSpPr txBox="1"/>
              </xdr:nvSpPr>
              <xdr:spPr>
                <a:xfrm rot="16200000">
                  <a:off x="27171952"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580" name="Grupo 579">
                <a:extLst>
                  <a:ext uri="{FF2B5EF4-FFF2-40B4-BE49-F238E27FC236}">
                    <a16:creationId xmlns:a16="http://schemas.microsoft.com/office/drawing/2014/main" id="{00000000-0008-0000-0800-000044020000}"/>
                  </a:ext>
                </a:extLst>
              </xdr:cNvPr>
              <xdr:cNvGrpSpPr/>
            </xdr:nvGrpSpPr>
            <xdr:grpSpPr>
              <a:xfrm>
                <a:off x="32161504" y="12142045"/>
                <a:ext cx="2159945" cy="786017"/>
                <a:chOff x="20554737" y="13260800"/>
                <a:chExt cx="2157047" cy="771677"/>
              </a:xfrm>
            </xdr:grpSpPr>
            <xdr:grpSp>
              <xdr:nvGrpSpPr>
                <xdr:cNvPr id="626" name="Grupo 625">
                  <a:extLst>
                    <a:ext uri="{FF2B5EF4-FFF2-40B4-BE49-F238E27FC236}">
                      <a16:creationId xmlns:a16="http://schemas.microsoft.com/office/drawing/2014/main" id="{00000000-0008-0000-0800-000072020000}"/>
                    </a:ext>
                  </a:extLst>
                </xdr:cNvPr>
                <xdr:cNvGrpSpPr/>
              </xdr:nvGrpSpPr>
              <xdr:grpSpPr>
                <a:xfrm>
                  <a:off x="20554737" y="13260800"/>
                  <a:ext cx="2157047" cy="732326"/>
                  <a:chOff x="28670251" y="2081892"/>
                  <a:chExt cx="2000250" cy="585107"/>
                </a:xfrm>
              </xdr:grpSpPr>
              <xdr:sp macro="" textlink="">
                <xdr:nvSpPr>
                  <xdr:cNvPr id="631" name="Cheurón 630">
                    <a:extLst>
                      <a:ext uri="{FF2B5EF4-FFF2-40B4-BE49-F238E27FC236}">
                        <a16:creationId xmlns:a16="http://schemas.microsoft.com/office/drawing/2014/main" id="{00000000-0008-0000-0800-000077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32" name="CuadroTexto 631">
                    <a:extLst>
                      <a:ext uri="{FF2B5EF4-FFF2-40B4-BE49-F238E27FC236}">
                        <a16:creationId xmlns:a16="http://schemas.microsoft.com/office/drawing/2014/main" id="{00000000-0008-0000-0800-000078020000}"/>
                      </a:ext>
                    </a:extLst>
                  </xdr:cNvPr>
                  <xdr:cNvSpPr txBox="1"/>
                </xdr:nvSpPr>
                <xdr:spPr>
                  <a:xfrm>
                    <a:off x="28869718" y="2159695"/>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T$14">
                <xdr:nvSpPr>
                  <xdr:cNvPr id="633" name="Rectángulo redondeado 632">
                    <a:extLst>
                      <a:ext uri="{FF2B5EF4-FFF2-40B4-BE49-F238E27FC236}">
                        <a16:creationId xmlns:a16="http://schemas.microsoft.com/office/drawing/2014/main" id="{00000000-0008-0000-0800-000079020000}"/>
                      </a:ext>
                    </a:extLst>
                  </xdr:cNvPr>
                  <xdr:cNvSpPr/>
                </xdr:nvSpPr>
                <xdr:spPr>
                  <a:xfrm>
                    <a:off x="29786518" y="216585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A714050-328B-4538-BBC6-A8A7BF61D909}" type="TxLink">
                      <a:rPr lang="en-US" sz="1600" b="1" i="0" u="none" strike="noStrike">
                        <a:solidFill>
                          <a:srgbClr val="FFFF00"/>
                        </a:solidFill>
                        <a:latin typeface="Century Gothic"/>
                      </a:rPr>
                      <a:pPr algn="ctr"/>
                      <a:t>57,9%</a:t>
                    </a:fld>
                    <a:endParaRPr lang="es-CO" sz="3600">
                      <a:solidFill>
                        <a:srgbClr val="FFFF00"/>
                      </a:solidFill>
                    </a:endParaRPr>
                  </a:p>
                </xdr:txBody>
              </xdr:sp>
            </xdr:grpSp>
            <xdr:grpSp>
              <xdr:nvGrpSpPr>
                <xdr:cNvPr id="627" name="Grupo 626">
                  <a:extLst>
                    <a:ext uri="{FF2B5EF4-FFF2-40B4-BE49-F238E27FC236}">
                      <a16:creationId xmlns:a16="http://schemas.microsoft.com/office/drawing/2014/main" id="{00000000-0008-0000-0800-000073020000}"/>
                    </a:ext>
                  </a:extLst>
                </xdr:cNvPr>
                <xdr:cNvGrpSpPr/>
              </xdr:nvGrpSpPr>
              <xdr:grpSpPr>
                <a:xfrm>
                  <a:off x="21720933" y="13741259"/>
                  <a:ext cx="825525" cy="291218"/>
                  <a:chOff x="21772887" y="13853826"/>
                  <a:chExt cx="825525" cy="291218"/>
                </a:xfrm>
              </xdr:grpSpPr>
              <xdr:sp macro="" textlink="">
                <xdr:nvSpPr>
                  <xdr:cNvPr id="628" name="CuadroTexto 627">
                    <a:extLst>
                      <a:ext uri="{FF2B5EF4-FFF2-40B4-BE49-F238E27FC236}">
                        <a16:creationId xmlns:a16="http://schemas.microsoft.com/office/drawing/2014/main" id="{00000000-0008-0000-0800-000074020000}"/>
                      </a:ext>
                    </a:extLst>
                  </xdr:cNvPr>
                  <xdr:cNvSpPr txBox="1"/>
                </xdr:nvSpPr>
                <xdr:spPr>
                  <a:xfrm>
                    <a:off x="21772887" y="13853826"/>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14">
                <xdr:nvSpPr>
                  <xdr:cNvPr id="629" name="Rectángulo 628">
                    <a:extLst>
                      <a:ext uri="{FF2B5EF4-FFF2-40B4-BE49-F238E27FC236}">
                        <a16:creationId xmlns:a16="http://schemas.microsoft.com/office/drawing/2014/main" id="{00000000-0008-0000-0800-000075020000}"/>
                      </a:ext>
                    </a:extLst>
                  </xdr:cNvPr>
                  <xdr:cNvSpPr/>
                </xdr:nvSpPr>
                <xdr:spPr>
                  <a:xfrm>
                    <a:off x="21834251" y="13869190"/>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E576DE-0EB3-44A6-B83C-4325F419319B}" type="TxLink">
                      <a:rPr lang="en-US" sz="1100" b="1" i="0" u="none" strike="noStrike">
                        <a:solidFill>
                          <a:srgbClr val="FFFF00"/>
                        </a:solidFill>
                        <a:latin typeface="Century Gothic"/>
                      </a:rPr>
                      <a:pPr algn="ctr"/>
                      <a:t>11</a:t>
                    </a:fld>
                    <a:endParaRPr lang="es-CO" sz="1100" b="1">
                      <a:solidFill>
                        <a:srgbClr val="FFFF00"/>
                      </a:solidFill>
                    </a:endParaRPr>
                  </a:p>
                </xdr:txBody>
              </xdr:sp>
              <xdr:sp macro="" textlink="$M$14">
                <xdr:nvSpPr>
                  <xdr:cNvPr id="630" name="Rectángulo 629">
                    <a:extLst>
                      <a:ext uri="{FF2B5EF4-FFF2-40B4-BE49-F238E27FC236}">
                        <a16:creationId xmlns:a16="http://schemas.microsoft.com/office/drawing/2014/main" id="{00000000-0008-0000-0800-000076020000}"/>
                      </a:ext>
                    </a:extLst>
                  </xdr:cNvPr>
                  <xdr:cNvSpPr/>
                </xdr:nvSpPr>
                <xdr:spPr>
                  <a:xfrm>
                    <a:off x="22128906" y="1386919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1AF30FF-A0A8-4972-AD61-F952E276289D}" type="TxLink">
                      <a:rPr lang="en-US" sz="1100" b="1" i="0" u="none" strike="noStrike">
                        <a:solidFill>
                          <a:srgbClr val="FFFF00"/>
                        </a:solidFill>
                        <a:latin typeface="Century Gothic"/>
                      </a:rPr>
                      <a:pPr algn="ctr"/>
                      <a:t>19</a:t>
                    </a:fld>
                    <a:endParaRPr lang="es-CO" sz="1100" b="1">
                      <a:solidFill>
                        <a:srgbClr val="FFFF00"/>
                      </a:solidFill>
                    </a:endParaRPr>
                  </a:p>
                </xdr:txBody>
              </xdr:sp>
            </xdr:grpSp>
          </xdr:grpSp>
          <xdr:grpSp>
            <xdr:nvGrpSpPr>
              <xdr:cNvPr id="581" name="Grupo 580">
                <a:extLst>
                  <a:ext uri="{FF2B5EF4-FFF2-40B4-BE49-F238E27FC236}">
                    <a16:creationId xmlns:a16="http://schemas.microsoft.com/office/drawing/2014/main" id="{00000000-0008-0000-0800-000045020000}"/>
                  </a:ext>
                </a:extLst>
              </xdr:cNvPr>
              <xdr:cNvGrpSpPr/>
            </xdr:nvGrpSpPr>
            <xdr:grpSpPr>
              <a:xfrm>
                <a:off x="24438287" y="12951276"/>
                <a:ext cx="2159944" cy="745937"/>
                <a:chOff x="12841883" y="14055217"/>
                <a:chExt cx="2157046" cy="732326"/>
              </a:xfrm>
            </xdr:grpSpPr>
            <xdr:grpSp>
              <xdr:nvGrpSpPr>
                <xdr:cNvPr id="618" name="Grupo 617">
                  <a:extLst>
                    <a:ext uri="{FF2B5EF4-FFF2-40B4-BE49-F238E27FC236}">
                      <a16:creationId xmlns:a16="http://schemas.microsoft.com/office/drawing/2014/main" id="{00000000-0008-0000-0800-00006A020000}"/>
                    </a:ext>
                  </a:extLst>
                </xdr:cNvPr>
                <xdr:cNvGrpSpPr/>
              </xdr:nvGrpSpPr>
              <xdr:grpSpPr>
                <a:xfrm>
                  <a:off x="12841883" y="14055217"/>
                  <a:ext cx="2157046" cy="732326"/>
                  <a:chOff x="28670251" y="2081892"/>
                  <a:chExt cx="2000250" cy="585107"/>
                </a:xfrm>
              </xdr:grpSpPr>
              <xdr:sp macro="" textlink="">
                <xdr:nvSpPr>
                  <xdr:cNvPr id="623" name="Cheurón 622">
                    <a:extLst>
                      <a:ext uri="{FF2B5EF4-FFF2-40B4-BE49-F238E27FC236}">
                        <a16:creationId xmlns:a16="http://schemas.microsoft.com/office/drawing/2014/main" id="{00000000-0008-0000-0800-00006F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24" name="CuadroTexto 623">
                    <a:extLst>
                      <a:ext uri="{FF2B5EF4-FFF2-40B4-BE49-F238E27FC236}">
                        <a16:creationId xmlns:a16="http://schemas.microsoft.com/office/drawing/2014/main" id="{00000000-0008-0000-0800-000070020000}"/>
                      </a:ext>
                    </a:extLst>
                  </xdr:cNvPr>
                  <xdr:cNvSpPr txBox="1"/>
                </xdr:nvSpPr>
                <xdr:spPr>
                  <a:xfrm>
                    <a:off x="28871628" y="2122198"/>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T$15">
                <xdr:nvSpPr>
                  <xdr:cNvPr id="625" name="Rectángulo redondeado 624">
                    <a:extLst>
                      <a:ext uri="{FF2B5EF4-FFF2-40B4-BE49-F238E27FC236}">
                        <a16:creationId xmlns:a16="http://schemas.microsoft.com/office/drawing/2014/main" id="{00000000-0008-0000-0800-000071020000}"/>
                      </a:ext>
                    </a:extLst>
                  </xdr:cNvPr>
                  <xdr:cNvSpPr/>
                </xdr:nvSpPr>
                <xdr:spPr>
                  <a:xfrm>
                    <a:off x="297865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738CDDF-BED5-4912-A878-CE80AA956A33}"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19" name="Grupo 618">
                  <a:extLst>
                    <a:ext uri="{FF2B5EF4-FFF2-40B4-BE49-F238E27FC236}">
                      <a16:creationId xmlns:a16="http://schemas.microsoft.com/office/drawing/2014/main" id="{00000000-0008-0000-0800-00006B020000}"/>
                    </a:ext>
                  </a:extLst>
                </xdr:cNvPr>
                <xdr:cNvGrpSpPr/>
              </xdr:nvGrpSpPr>
              <xdr:grpSpPr>
                <a:xfrm>
                  <a:off x="14016091" y="14508357"/>
                  <a:ext cx="828000" cy="275854"/>
                  <a:chOff x="14016091" y="14799434"/>
                  <a:chExt cx="828000" cy="275854"/>
                </a:xfrm>
              </xdr:grpSpPr>
              <xdr:sp macro="" textlink="$N$15">
                <xdr:nvSpPr>
                  <xdr:cNvPr id="620" name="Rectángulo 619">
                    <a:extLst>
                      <a:ext uri="{FF2B5EF4-FFF2-40B4-BE49-F238E27FC236}">
                        <a16:creationId xmlns:a16="http://schemas.microsoft.com/office/drawing/2014/main" id="{00000000-0008-0000-0800-00006C020000}"/>
                      </a:ext>
                    </a:extLst>
                  </xdr:cNvPr>
                  <xdr:cNvSpPr/>
                </xdr:nvSpPr>
                <xdr:spPr>
                  <a:xfrm>
                    <a:off x="14055428" y="1479943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504BC7E-0969-4D73-9017-F9E16D5A696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15">
                <xdr:nvSpPr>
                  <xdr:cNvPr id="621" name="Rectángulo 620">
                    <a:extLst>
                      <a:ext uri="{FF2B5EF4-FFF2-40B4-BE49-F238E27FC236}">
                        <a16:creationId xmlns:a16="http://schemas.microsoft.com/office/drawing/2014/main" id="{00000000-0008-0000-0800-00006D020000}"/>
                      </a:ext>
                    </a:extLst>
                  </xdr:cNvPr>
                  <xdr:cNvSpPr/>
                </xdr:nvSpPr>
                <xdr:spPr>
                  <a:xfrm>
                    <a:off x="14350083" y="1479943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FCE1103-76F5-4769-B68E-2D843E16EC0E}"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622" name="CuadroTexto 621">
                    <a:extLst>
                      <a:ext uri="{FF2B5EF4-FFF2-40B4-BE49-F238E27FC236}">
                        <a16:creationId xmlns:a16="http://schemas.microsoft.com/office/drawing/2014/main" id="{00000000-0008-0000-0800-00006E020000}"/>
                      </a:ext>
                    </a:extLst>
                  </xdr:cNvPr>
                  <xdr:cNvSpPr txBox="1"/>
                </xdr:nvSpPr>
                <xdr:spPr>
                  <a:xfrm>
                    <a:off x="14016091" y="14801361"/>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2" name="Grupo 581">
                <a:extLst>
                  <a:ext uri="{FF2B5EF4-FFF2-40B4-BE49-F238E27FC236}">
                    <a16:creationId xmlns:a16="http://schemas.microsoft.com/office/drawing/2014/main" id="{00000000-0008-0000-0800-000046020000}"/>
                  </a:ext>
                </a:extLst>
              </xdr:cNvPr>
              <xdr:cNvGrpSpPr/>
            </xdr:nvGrpSpPr>
            <xdr:grpSpPr>
              <a:xfrm>
                <a:off x="26400418" y="12954091"/>
                <a:ext cx="2182182" cy="745937"/>
                <a:chOff x="14801381" y="14057986"/>
                <a:chExt cx="2179254" cy="732326"/>
              </a:xfrm>
            </xdr:grpSpPr>
            <xdr:grpSp>
              <xdr:nvGrpSpPr>
                <xdr:cNvPr id="610" name="Grupo 609">
                  <a:extLst>
                    <a:ext uri="{FF2B5EF4-FFF2-40B4-BE49-F238E27FC236}">
                      <a16:creationId xmlns:a16="http://schemas.microsoft.com/office/drawing/2014/main" id="{00000000-0008-0000-0800-000062020000}"/>
                    </a:ext>
                  </a:extLst>
                </xdr:cNvPr>
                <xdr:cNvGrpSpPr/>
              </xdr:nvGrpSpPr>
              <xdr:grpSpPr>
                <a:xfrm>
                  <a:off x="14801381" y="14057986"/>
                  <a:ext cx="2179254" cy="732326"/>
                  <a:chOff x="28670251" y="2081892"/>
                  <a:chExt cx="2020842" cy="585107"/>
                </a:xfrm>
              </xdr:grpSpPr>
              <xdr:sp macro="" textlink="">
                <xdr:nvSpPr>
                  <xdr:cNvPr id="615" name="Cheurón 614">
                    <a:extLst>
                      <a:ext uri="{FF2B5EF4-FFF2-40B4-BE49-F238E27FC236}">
                        <a16:creationId xmlns:a16="http://schemas.microsoft.com/office/drawing/2014/main" id="{00000000-0008-0000-0800-000067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16" name="CuadroTexto 615">
                    <a:extLst>
                      <a:ext uri="{FF2B5EF4-FFF2-40B4-BE49-F238E27FC236}">
                        <a16:creationId xmlns:a16="http://schemas.microsoft.com/office/drawing/2014/main" id="{00000000-0008-0000-0800-000068020000}"/>
                      </a:ext>
                    </a:extLst>
                  </xdr:cNvPr>
                  <xdr:cNvSpPr txBox="1"/>
                </xdr:nvSpPr>
                <xdr:spPr>
                  <a:xfrm>
                    <a:off x="28789521" y="2122198"/>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T$16">
                <xdr:nvSpPr>
                  <xdr:cNvPr id="617" name="Rectángulo redondeado 616">
                    <a:extLst>
                      <a:ext uri="{FF2B5EF4-FFF2-40B4-BE49-F238E27FC236}">
                        <a16:creationId xmlns:a16="http://schemas.microsoft.com/office/drawing/2014/main" id="{00000000-0008-0000-0800-000069020000}"/>
                      </a:ext>
                    </a:extLst>
                  </xdr:cNvPr>
                  <xdr:cNvSpPr/>
                </xdr:nvSpPr>
                <xdr:spPr>
                  <a:xfrm>
                    <a:off x="29824320"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4D5F1E-0492-4767-8DD0-37305CC67C30}" type="TxLink">
                      <a:rPr lang="en-US" sz="1600" b="1" i="0" u="none" strike="noStrike">
                        <a:solidFill>
                          <a:srgbClr val="FFFF00"/>
                        </a:solidFill>
                        <a:latin typeface="Century Gothic"/>
                      </a:rPr>
                      <a:pPr algn="ctr"/>
                      <a:t>37,5%</a:t>
                    </a:fld>
                    <a:endParaRPr lang="es-CO" sz="3600">
                      <a:solidFill>
                        <a:srgbClr val="FFFF00"/>
                      </a:solidFill>
                    </a:endParaRPr>
                  </a:p>
                </xdr:txBody>
              </xdr:sp>
            </xdr:grpSp>
            <xdr:grpSp>
              <xdr:nvGrpSpPr>
                <xdr:cNvPr id="611" name="Grupo 610">
                  <a:extLst>
                    <a:ext uri="{FF2B5EF4-FFF2-40B4-BE49-F238E27FC236}">
                      <a16:creationId xmlns:a16="http://schemas.microsoft.com/office/drawing/2014/main" id="{00000000-0008-0000-0800-000063020000}"/>
                    </a:ext>
                  </a:extLst>
                </xdr:cNvPr>
                <xdr:cNvGrpSpPr/>
              </xdr:nvGrpSpPr>
              <xdr:grpSpPr>
                <a:xfrm>
                  <a:off x="16010400" y="14508357"/>
                  <a:ext cx="828000" cy="275854"/>
                  <a:chOff x="16010400" y="14650231"/>
                  <a:chExt cx="828000" cy="275854"/>
                </a:xfrm>
              </xdr:grpSpPr>
              <xdr:sp macro="" textlink="$N$16">
                <xdr:nvSpPr>
                  <xdr:cNvPr id="612" name="Rectángulo 611">
                    <a:extLst>
                      <a:ext uri="{FF2B5EF4-FFF2-40B4-BE49-F238E27FC236}">
                        <a16:creationId xmlns:a16="http://schemas.microsoft.com/office/drawing/2014/main" id="{00000000-0008-0000-0800-000064020000}"/>
                      </a:ext>
                    </a:extLst>
                  </xdr:cNvPr>
                  <xdr:cNvSpPr/>
                </xdr:nvSpPr>
                <xdr:spPr>
                  <a:xfrm>
                    <a:off x="16067055" y="1465023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595C89-9D5D-452A-A7C7-68C20A797CBB}"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M$16">
                <xdr:nvSpPr>
                  <xdr:cNvPr id="613" name="Rectángulo 612">
                    <a:extLst>
                      <a:ext uri="{FF2B5EF4-FFF2-40B4-BE49-F238E27FC236}">
                        <a16:creationId xmlns:a16="http://schemas.microsoft.com/office/drawing/2014/main" id="{00000000-0008-0000-0800-000065020000}"/>
                      </a:ext>
                    </a:extLst>
                  </xdr:cNvPr>
                  <xdr:cNvSpPr/>
                </xdr:nvSpPr>
                <xdr:spPr>
                  <a:xfrm>
                    <a:off x="16353051" y="1465023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3598190-7335-4BFC-ACB5-3B6531D7BE00}" type="TxLink">
                      <a:rPr lang="en-US" sz="1100" b="1" i="0" u="none" strike="noStrike">
                        <a:solidFill>
                          <a:srgbClr val="FFFF00"/>
                        </a:solidFill>
                        <a:latin typeface="Century Gothic"/>
                      </a:rPr>
                      <a:pPr algn="ctr"/>
                      <a:t>16</a:t>
                    </a:fld>
                    <a:endParaRPr lang="es-CO" sz="1100" b="1">
                      <a:solidFill>
                        <a:srgbClr val="FFFF00"/>
                      </a:solidFill>
                    </a:endParaRPr>
                  </a:p>
                </xdr:txBody>
              </xdr:sp>
              <xdr:sp macro="" textlink="">
                <xdr:nvSpPr>
                  <xdr:cNvPr id="614" name="CuadroTexto 613">
                    <a:extLst>
                      <a:ext uri="{FF2B5EF4-FFF2-40B4-BE49-F238E27FC236}">
                        <a16:creationId xmlns:a16="http://schemas.microsoft.com/office/drawing/2014/main" id="{00000000-0008-0000-0800-000066020000}"/>
                      </a:ext>
                    </a:extLst>
                  </xdr:cNvPr>
                  <xdr:cNvSpPr txBox="1"/>
                </xdr:nvSpPr>
                <xdr:spPr>
                  <a:xfrm>
                    <a:off x="16010400" y="14652161"/>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3" name="Grupo 582">
                <a:extLst>
                  <a:ext uri="{FF2B5EF4-FFF2-40B4-BE49-F238E27FC236}">
                    <a16:creationId xmlns:a16="http://schemas.microsoft.com/office/drawing/2014/main" id="{00000000-0008-0000-0800-000047020000}"/>
                  </a:ext>
                </a:extLst>
              </xdr:cNvPr>
              <xdr:cNvGrpSpPr/>
            </xdr:nvGrpSpPr>
            <xdr:grpSpPr>
              <a:xfrm>
                <a:off x="28348857" y="12942813"/>
                <a:ext cx="2195786" cy="750998"/>
                <a:chOff x="16747206" y="14046916"/>
                <a:chExt cx="2192840" cy="737295"/>
              </a:xfrm>
            </xdr:grpSpPr>
            <xdr:grpSp>
              <xdr:nvGrpSpPr>
                <xdr:cNvPr id="602" name="Grupo 601">
                  <a:extLst>
                    <a:ext uri="{FF2B5EF4-FFF2-40B4-BE49-F238E27FC236}">
                      <a16:creationId xmlns:a16="http://schemas.microsoft.com/office/drawing/2014/main" id="{00000000-0008-0000-0800-00005A020000}"/>
                    </a:ext>
                  </a:extLst>
                </xdr:cNvPr>
                <xdr:cNvGrpSpPr/>
              </xdr:nvGrpSpPr>
              <xdr:grpSpPr>
                <a:xfrm>
                  <a:off x="16747206" y="14046916"/>
                  <a:ext cx="2192840" cy="732326"/>
                  <a:chOff x="28670251" y="2081892"/>
                  <a:chExt cx="2033443" cy="585107"/>
                </a:xfrm>
              </xdr:grpSpPr>
              <xdr:sp macro="" textlink="">
                <xdr:nvSpPr>
                  <xdr:cNvPr id="607" name="Cheurón 606">
                    <a:extLst>
                      <a:ext uri="{FF2B5EF4-FFF2-40B4-BE49-F238E27FC236}">
                        <a16:creationId xmlns:a16="http://schemas.microsoft.com/office/drawing/2014/main" id="{00000000-0008-0000-0800-00005F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08" name="CuadroTexto 607">
                    <a:extLst>
                      <a:ext uri="{FF2B5EF4-FFF2-40B4-BE49-F238E27FC236}">
                        <a16:creationId xmlns:a16="http://schemas.microsoft.com/office/drawing/2014/main" id="{00000000-0008-0000-0800-000060020000}"/>
                      </a:ext>
                    </a:extLst>
                  </xdr:cNvPr>
                  <xdr:cNvSpPr txBox="1"/>
                </xdr:nvSpPr>
                <xdr:spPr>
                  <a:xfrm>
                    <a:off x="28782494" y="2119420"/>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T$17">
                <xdr:nvSpPr>
                  <xdr:cNvPr id="609" name="Rectángulo redondeado 608">
                    <a:extLst>
                      <a:ext uri="{FF2B5EF4-FFF2-40B4-BE49-F238E27FC236}">
                        <a16:creationId xmlns:a16="http://schemas.microsoft.com/office/drawing/2014/main" id="{00000000-0008-0000-0800-000061020000}"/>
                      </a:ext>
                    </a:extLst>
                  </xdr:cNvPr>
                  <xdr:cNvSpPr/>
                </xdr:nvSpPr>
                <xdr:spPr>
                  <a:xfrm>
                    <a:off x="2983691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7E4ADDB-5C90-4A9A-91CE-63D3093A1EE0}"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03" name="Grupo 602">
                  <a:extLst>
                    <a:ext uri="{FF2B5EF4-FFF2-40B4-BE49-F238E27FC236}">
                      <a16:creationId xmlns:a16="http://schemas.microsoft.com/office/drawing/2014/main" id="{00000000-0008-0000-0800-00005B020000}"/>
                    </a:ext>
                  </a:extLst>
                </xdr:cNvPr>
                <xdr:cNvGrpSpPr/>
              </xdr:nvGrpSpPr>
              <xdr:grpSpPr>
                <a:xfrm>
                  <a:off x="17963890" y="14508357"/>
                  <a:ext cx="828000" cy="275854"/>
                  <a:chOff x="17963890" y="14651593"/>
                  <a:chExt cx="828000" cy="275854"/>
                </a:xfrm>
              </xdr:grpSpPr>
              <xdr:sp macro="" textlink="$N$17">
                <xdr:nvSpPr>
                  <xdr:cNvPr id="604" name="Rectángulo 603">
                    <a:extLst>
                      <a:ext uri="{FF2B5EF4-FFF2-40B4-BE49-F238E27FC236}">
                        <a16:creationId xmlns:a16="http://schemas.microsoft.com/office/drawing/2014/main" id="{00000000-0008-0000-0800-00005C020000}"/>
                      </a:ext>
                    </a:extLst>
                  </xdr:cNvPr>
                  <xdr:cNvSpPr/>
                </xdr:nvSpPr>
                <xdr:spPr>
                  <a:xfrm>
                    <a:off x="18029204" y="1465159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598BA12-F9DC-45BB-BF35-C7713EBC714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17">
                <xdr:nvSpPr>
                  <xdr:cNvPr id="605" name="Rectángulo 604">
                    <a:extLst>
                      <a:ext uri="{FF2B5EF4-FFF2-40B4-BE49-F238E27FC236}">
                        <a16:creationId xmlns:a16="http://schemas.microsoft.com/office/drawing/2014/main" id="{00000000-0008-0000-0800-00005D020000}"/>
                      </a:ext>
                    </a:extLst>
                  </xdr:cNvPr>
                  <xdr:cNvSpPr/>
                </xdr:nvSpPr>
                <xdr:spPr>
                  <a:xfrm>
                    <a:off x="18315200" y="1465159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778D54E-8D64-4BF8-9D71-1EF64720B4FE}" type="TxLink">
                      <a:rPr lang="en-US" sz="1100" b="1" i="0" u="none" strike="noStrike">
                        <a:solidFill>
                          <a:srgbClr val="FFFF00"/>
                        </a:solidFill>
                        <a:latin typeface="Century Gothic"/>
                      </a:rPr>
                      <a:pPr algn="ctr"/>
                      <a:t>20</a:t>
                    </a:fld>
                    <a:endParaRPr lang="es-CO" sz="1100" b="1">
                      <a:solidFill>
                        <a:srgbClr val="FFFF00"/>
                      </a:solidFill>
                    </a:endParaRPr>
                  </a:p>
                </xdr:txBody>
              </xdr:sp>
              <xdr:sp macro="" textlink="">
                <xdr:nvSpPr>
                  <xdr:cNvPr id="606" name="CuadroTexto 605">
                    <a:extLst>
                      <a:ext uri="{FF2B5EF4-FFF2-40B4-BE49-F238E27FC236}">
                        <a16:creationId xmlns:a16="http://schemas.microsoft.com/office/drawing/2014/main" id="{00000000-0008-0000-0800-00005E020000}"/>
                      </a:ext>
                    </a:extLst>
                  </xdr:cNvPr>
                  <xdr:cNvSpPr txBox="1"/>
                </xdr:nvSpPr>
                <xdr:spPr>
                  <a:xfrm>
                    <a:off x="17963890" y="14653523"/>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4" name="Grupo 583">
                <a:extLst>
                  <a:ext uri="{FF2B5EF4-FFF2-40B4-BE49-F238E27FC236}">
                    <a16:creationId xmlns:a16="http://schemas.microsoft.com/office/drawing/2014/main" id="{00000000-0008-0000-0800-000048020000}"/>
                  </a:ext>
                </a:extLst>
              </xdr:cNvPr>
              <xdr:cNvGrpSpPr/>
            </xdr:nvGrpSpPr>
            <xdr:grpSpPr>
              <a:xfrm>
                <a:off x="30297334" y="12945629"/>
                <a:ext cx="2129427" cy="748176"/>
                <a:chOff x="18693068" y="14049686"/>
                <a:chExt cx="2126570" cy="734525"/>
              </a:xfrm>
            </xdr:grpSpPr>
            <xdr:grpSp>
              <xdr:nvGrpSpPr>
                <xdr:cNvPr id="594" name="Grupo 593">
                  <a:extLst>
                    <a:ext uri="{FF2B5EF4-FFF2-40B4-BE49-F238E27FC236}">
                      <a16:creationId xmlns:a16="http://schemas.microsoft.com/office/drawing/2014/main" id="{00000000-0008-0000-0800-000052020000}"/>
                    </a:ext>
                  </a:extLst>
                </xdr:cNvPr>
                <xdr:cNvGrpSpPr/>
              </xdr:nvGrpSpPr>
              <xdr:grpSpPr>
                <a:xfrm>
                  <a:off x="18693068" y="14049686"/>
                  <a:ext cx="2126570" cy="732326"/>
                  <a:chOff x="28670251" y="2081892"/>
                  <a:chExt cx="2012232" cy="585107"/>
                </a:xfrm>
              </xdr:grpSpPr>
              <xdr:sp macro="" textlink="">
                <xdr:nvSpPr>
                  <xdr:cNvPr id="599" name="Cheurón 598">
                    <a:extLst>
                      <a:ext uri="{FF2B5EF4-FFF2-40B4-BE49-F238E27FC236}">
                        <a16:creationId xmlns:a16="http://schemas.microsoft.com/office/drawing/2014/main" id="{00000000-0008-0000-0800-000057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00" name="CuadroTexto 599">
                    <a:extLst>
                      <a:ext uri="{FF2B5EF4-FFF2-40B4-BE49-F238E27FC236}">
                        <a16:creationId xmlns:a16="http://schemas.microsoft.com/office/drawing/2014/main" id="{00000000-0008-0000-0800-000058020000}"/>
                      </a:ext>
                    </a:extLst>
                  </xdr:cNvPr>
                  <xdr:cNvSpPr txBox="1"/>
                </xdr:nvSpPr>
                <xdr:spPr>
                  <a:xfrm>
                    <a:off x="28911076" y="2122198"/>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T$18">
                <xdr:nvSpPr>
                  <xdr:cNvPr id="601" name="Rectángulo redondeado 600">
                    <a:extLst>
                      <a:ext uri="{FF2B5EF4-FFF2-40B4-BE49-F238E27FC236}">
                        <a16:creationId xmlns:a16="http://schemas.microsoft.com/office/drawing/2014/main" id="{00000000-0008-0000-0800-000059020000}"/>
                      </a:ext>
                    </a:extLst>
                  </xdr:cNvPr>
                  <xdr:cNvSpPr/>
                </xdr:nvSpPr>
                <xdr:spPr>
                  <a:xfrm>
                    <a:off x="29798021"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F8C1CF-B76A-44BC-8344-DDAFD108D86A}" type="TxLink">
                      <a:rPr lang="en-US" sz="1600" b="1" i="0" u="none" strike="noStrike">
                        <a:solidFill>
                          <a:srgbClr val="FFFF00"/>
                        </a:solidFill>
                        <a:latin typeface="Century Gothic"/>
                      </a:rPr>
                      <a:pPr algn="ctr"/>
                      <a:t>80,0%</a:t>
                    </a:fld>
                    <a:endParaRPr lang="es-CO" sz="3600">
                      <a:solidFill>
                        <a:srgbClr val="FFFF00"/>
                      </a:solidFill>
                    </a:endParaRPr>
                  </a:p>
                </xdr:txBody>
              </xdr:sp>
            </xdr:grpSp>
            <xdr:grpSp>
              <xdr:nvGrpSpPr>
                <xdr:cNvPr id="595" name="Grupo 594">
                  <a:extLst>
                    <a:ext uri="{FF2B5EF4-FFF2-40B4-BE49-F238E27FC236}">
                      <a16:creationId xmlns:a16="http://schemas.microsoft.com/office/drawing/2014/main" id="{00000000-0008-0000-0800-000053020000}"/>
                    </a:ext>
                  </a:extLst>
                </xdr:cNvPr>
                <xdr:cNvGrpSpPr/>
              </xdr:nvGrpSpPr>
              <xdr:grpSpPr>
                <a:xfrm>
                  <a:off x="19859234" y="14508357"/>
                  <a:ext cx="825525" cy="275854"/>
                  <a:chOff x="19893870" y="14659758"/>
                  <a:chExt cx="825525" cy="275854"/>
                </a:xfrm>
              </xdr:grpSpPr>
              <xdr:sp macro="" textlink="">
                <xdr:nvSpPr>
                  <xdr:cNvPr id="596" name="CuadroTexto 595">
                    <a:extLst>
                      <a:ext uri="{FF2B5EF4-FFF2-40B4-BE49-F238E27FC236}">
                        <a16:creationId xmlns:a16="http://schemas.microsoft.com/office/drawing/2014/main" id="{00000000-0008-0000-0800-000054020000}"/>
                      </a:ext>
                    </a:extLst>
                  </xdr:cNvPr>
                  <xdr:cNvSpPr txBox="1"/>
                </xdr:nvSpPr>
                <xdr:spPr>
                  <a:xfrm>
                    <a:off x="19893870" y="14661684"/>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18">
                <xdr:nvSpPr>
                  <xdr:cNvPr id="597" name="Rectángulo 596">
                    <a:extLst>
                      <a:ext uri="{FF2B5EF4-FFF2-40B4-BE49-F238E27FC236}">
                        <a16:creationId xmlns:a16="http://schemas.microsoft.com/office/drawing/2014/main" id="{00000000-0008-0000-0800-000055020000}"/>
                      </a:ext>
                    </a:extLst>
                  </xdr:cNvPr>
                  <xdr:cNvSpPr/>
                </xdr:nvSpPr>
                <xdr:spPr>
                  <a:xfrm>
                    <a:off x="19955234" y="14659758"/>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0A920E8-A348-4C0D-8A28-05C7BDEFEEA3}"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M$18">
                <xdr:nvSpPr>
                  <xdr:cNvPr id="598" name="Rectángulo 597">
                    <a:extLst>
                      <a:ext uri="{FF2B5EF4-FFF2-40B4-BE49-F238E27FC236}">
                        <a16:creationId xmlns:a16="http://schemas.microsoft.com/office/drawing/2014/main" id="{00000000-0008-0000-0800-000056020000}"/>
                      </a:ext>
                    </a:extLst>
                  </xdr:cNvPr>
                  <xdr:cNvSpPr/>
                </xdr:nvSpPr>
                <xdr:spPr>
                  <a:xfrm>
                    <a:off x="20241230" y="14659758"/>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AC15998-3702-4909-9B42-FFB51EC96986}" type="TxLink">
                      <a:rPr lang="en-US" sz="1100" b="1" i="0" u="none" strike="noStrike">
                        <a:solidFill>
                          <a:srgbClr val="FFFF00"/>
                        </a:solidFill>
                        <a:latin typeface="Century Gothic"/>
                      </a:rPr>
                      <a:pPr algn="ctr"/>
                      <a:t>5</a:t>
                    </a:fld>
                    <a:endParaRPr lang="es-CO" sz="1100" b="1">
                      <a:solidFill>
                        <a:srgbClr val="FFFF00"/>
                      </a:solidFill>
                    </a:endParaRPr>
                  </a:p>
                </xdr:txBody>
              </xdr:sp>
            </xdr:grpSp>
          </xdr:grpSp>
          <xdr:grpSp>
            <xdr:nvGrpSpPr>
              <xdr:cNvPr id="585" name="Grupo 584">
                <a:extLst>
                  <a:ext uri="{FF2B5EF4-FFF2-40B4-BE49-F238E27FC236}">
                    <a16:creationId xmlns:a16="http://schemas.microsoft.com/office/drawing/2014/main" id="{00000000-0008-0000-0800-000049020000}"/>
                  </a:ext>
                </a:extLst>
              </xdr:cNvPr>
              <xdr:cNvGrpSpPr/>
            </xdr:nvGrpSpPr>
            <xdr:grpSpPr>
              <a:xfrm>
                <a:off x="32205006" y="12948468"/>
                <a:ext cx="2116747" cy="745937"/>
                <a:chOff x="20598180" y="14052454"/>
                <a:chExt cx="2113907" cy="732326"/>
              </a:xfrm>
            </xdr:grpSpPr>
            <xdr:grpSp>
              <xdr:nvGrpSpPr>
                <xdr:cNvPr id="586" name="Grupo 585">
                  <a:extLst>
                    <a:ext uri="{FF2B5EF4-FFF2-40B4-BE49-F238E27FC236}">
                      <a16:creationId xmlns:a16="http://schemas.microsoft.com/office/drawing/2014/main" id="{00000000-0008-0000-0800-00004A020000}"/>
                    </a:ext>
                  </a:extLst>
                </xdr:cNvPr>
                <xdr:cNvGrpSpPr/>
              </xdr:nvGrpSpPr>
              <xdr:grpSpPr>
                <a:xfrm>
                  <a:off x="20598180" y="14052454"/>
                  <a:ext cx="2113907" cy="732326"/>
                  <a:chOff x="28670251" y="2081892"/>
                  <a:chExt cx="2000250" cy="585107"/>
                </a:xfrm>
              </xdr:grpSpPr>
              <xdr:sp macro="" textlink="">
                <xdr:nvSpPr>
                  <xdr:cNvPr id="591" name="Cheurón 590">
                    <a:extLst>
                      <a:ext uri="{FF2B5EF4-FFF2-40B4-BE49-F238E27FC236}">
                        <a16:creationId xmlns:a16="http://schemas.microsoft.com/office/drawing/2014/main" id="{00000000-0008-0000-0800-00004F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92" name="CuadroTexto 591">
                    <a:extLst>
                      <a:ext uri="{FF2B5EF4-FFF2-40B4-BE49-F238E27FC236}">
                        <a16:creationId xmlns:a16="http://schemas.microsoft.com/office/drawing/2014/main" id="{00000000-0008-0000-0800-000050020000}"/>
                      </a:ext>
                    </a:extLst>
                  </xdr:cNvPr>
                  <xdr:cNvSpPr txBox="1"/>
                </xdr:nvSpPr>
                <xdr:spPr>
                  <a:xfrm>
                    <a:off x="28842462"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T$19">
                <xdr:nvSpPr>
                  <xdr:cNvPr id="593" name="Rectángulo redondeado 592">
                    <a:extLst>
                      <a:ext uri="{FF2B5EF4-FFF2-40B4-BE49-F238E27FC236}">
                        <a16:creationId xmlns:a16="http://schemas.microsoft.com/office/drawing/2014/main" id="{00000000-0008-0000-0800-000051020000}"/>
                      </a:ext>
                    </a:extLst>
                  </xdr:cNvPr>
                  <xdr:cNvSpPr/>
                </xdr:nvSpPr>
                <xdr:spPr>
                  <a:xfrm>
                    <a:off x="29808023" y="2157577"/>
                    <a:ext cx="85044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E0A60E-24BB-49CE-8278-1820C51237EF}" type="TxLink">
                      <a:rPr lang="en-US" sz="1600" b="1" i="0" u="none" strike="noStrike">
                        <a:solidFill>
                          <a:srgbClr val="FFFF00"/>
                        </a:solidFill>
                        <a:latin typeface="Century Gothic"/>
                      </a:rPr>
                      <a:pPr algn="ctr"/>
                      <a:t>25,0%</a:t>
                    </a:fld>
                    <a:endParaRPr lang="es-CO" sz="3600">
                      <a:solidFill>
                        <a:srgbClr val="FFFF00"/>
                      </a:solidFill>
                    </a:endParaRPr>
                  </a:p>
                </xdr:txBody>
              </xdr:sp>
            </xdr:grpSp>
            <xdr:grpSp>
              <xdr:nvGrpSpPr>
                <xdr:cNvPr id="587" name="Grupo 586">
                  <a:extLst>
                    <a:ext uri="{FF2B5EF4-FFF2-40B4-BE49-F238E27FC236}">
                      <a16:creationId xmlns:a16="http://schemas.microsoft.com/office/drawing/2014/main" id="{00000000-0008-0000-0800-00004B020000}"/>
                    </a:ext>
                  </a:extLst>
                </xdr:cNvPr>
                <xdr:cNvGrpSpPr/>
              </xdr:nvGrpSpPr>
              <xdr:grpSpPr>
                <a:xfrm>
                  <a:off x="21778084" y="14508357"/>
                  <a:ext cx="825525" cy="275854"/>
                  <a:chOff x="21778084" y="14662356"/>
                  <a:chExt cx="825525" cy="275854"/>
                </a:xfrm>
              </xdr:grpSpPr>
              <xdr:sp macro="" textlink="">
                <xdr:nvSpPr>
                  <xdr:cNvPr id="588" name="CuadroTexto 587">
                    <a:extLst>
                      <a:ext uri="{FF2B5EF4-FFF2-40B4-BE49-F238E27FC236}">
                        <a16:creationId xmlns:a16="http://schemas.microsoft.com/office/drawing/2014/main" id="{00000000-0008-0000-0800-00004C020000}"/>
                      </a:ext>
                    </a:extLst>
                  </xdr:cNvPr>
                  <xdr:cNvSpPr txBox="1"/>
                </xdr:nvSpPr>
                <xdr:spPr>
                  <a:xfrm>
                    <a:off x="21778084" y="1466428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19">
                <xdr:nvSpPr>
                  <xdr:cNvPr id="589" name="Rectángulo 588">
                    <a:extLst>
                      <a:ext uri="{FF2B5EF4-FFF2-40B4-BE49-F238E27FC236}">
                        <a16:creationId xmlns:a16="http://schemas.microsoft.com/office/drawing/2014/main" id="{00000000-0008-0000-0800-00004D020000}"/>
                      </a:ext>
                    </a:extLst>
                  </xdr:cNvPr>
                  <xdr:cNvSpPr/>
                </xdr:nvSpPr>
                <xdr:spPr>
                  <a:xfrm>
                    <a:off x="21830789" y="1466235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CC9B548-593E-47E6-8C7F-632167C576CB}"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M$19">
                <xdr:nvSpPr>
                  <xdr:cNvPr id="590" name="Rectángulo 589">
                    <a:extLst>
                      <a:ext uri="{FF2B5EF4-FFF2-40B4-BE49-F238E27FC236}">
                        <a16:creationId xmlns:a16="http://schemas.microsoft.com/office/drawing/2014/main" id="{00000000-0008-0000-0800-00004E020000}"/>
                      </a:ext>
                    </a:extLst>
                  </xdr:cNvPr>
                  <xdr:cNvSpPr/>
                </xdr:nvSpPr>
                <xdr:spPr>
                  <a:xfrm>
                    <a:off x="22116785" y="1466235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FAFC29D-37DF-4384-BA5A-FF96B8D3F073}" type="TxLink">
                      <a:rPr lang="en-US" sz="1100" b="1" i="0" u="none" strike="noStrike">
                        <a:solidFill>
                          <a:srgbClr val="FFFF00"/>
                        </a:solidFill>
                        <a:latin typeface="Century Gothic"/>
                      </a:rPr>
                      <a:pPr algn="ctr"/>
                      <a:t>20</a:t>
                    </a:fld>
                    <a:endParaRPr lang="es-CO" sz="1100" b="1">
                      <a:solidFill>
                        <a:srgbClr val="FFFF00"/>
                      </a:solidFill>
                    </a:endParaRPr>
                  </a:p>
                </xdr:txBody>
              </xdr:sp>
            </xdr:grpSp>
          </xdr:grpSp>
        </xdr:grpSp>
        <xdr:grpSp>
          <xdr:nvGrpSpPr>
            <xdr:cNvPr id="484" name="Grupo 483">
              <a:extLst>
                <a:ext uri="{FF2B5EF4-FFF2-40B4-BE49-F238E27FC236}">
                  <a16:creationId xmlns:a16="http://schemas.microsoft.com/office/drawing/2014/main" id="{00000000-0008-0000-0800-0000E4010000}"/>
                </a:ext>
              </a:extLst>
            </xdr:cNvPr>
            <xdr:cNvGrpSpPr/>
          </xdr:nvGrpSpPr>
          <xdr:grpSpPr>
            <a:xfrm>
              <a:off x="11630673" y="15602535"/>
              <a:ext cx="6933765" cy="1610669"/>
              <a:chOff x="23593997" y="15707314"/>
              <a:chExt cx="6930330" cy="1670513"/>
            </a:xfrm>
          </xdr:grpSpPr>
          <xdr:grpSp>
            <xdr:nvGrpSpPr>
              <xdr:cNvPr id="562" name="Grupo 561">
                <a:extLst>
                  <a:ext uri="{FF2B5EF4-FFF2-40B4-BE49-F238E27FC236}">
                    <a16:creationId xmlns:a16="http://schemas.microsoft.com/office/drawing/2014/main" id="{00000000-0008-0000-0800-000032020000}"/>
                  </a:ext>
                </a:extLst>
              </xdr:cNvPr>
              <xdr:cNvGrpSpPr/>
            </xdr:nvGrpSpPr>
            <xdr:grpSpPr>
              <a:xfrm>
                <a:off x="23593997" y="15707314"/>
                <a:ext cx="720000" cy="1670513"/>
                <a:chOff x="27309535" y="8406495"/>
                <a:chExt cx="719540" cy="1610348"/>
              </a:xfrm>
            </xdr:grpSpPr>
            <xdr:sp macro="" textlink="">
              <xdr:nvSpPr>
                <xdr:cNvPr id="573" name="Rectángulo 572">
                  <a:extLst>
                    <a:ext uri="{FF2B5EF4-FFF2-40B4-BE49-F238E27FC236}">
                      <a16:creationId xmlns:a16="http://schemas.microsoft.com/office/drawing/2014/main" id="{00000000-0008-0000-0800-00003D020000}"/>
                    </a:ext>
                  </a:extLst>
                </xdr:cNvPr>
                <xdr:cNvSpPr/>
              </xdr:nvSpPr>
              <xdr:spPr>
                <a:xfrm>
                  <a:off x="27309535" y="8504462"/>
                  <a:ext cx="719540"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74" name="CuadroTexto 573">
                  <a:extLst>
                    <a:ext uri="{FF2B5EF4-FFF2-40B4-BE49-F238E27FC236}">
                      <a16:creationId xmlns:a16="http://schemas.microsoft.com/office/drawing/2014/main" id="{00000000-0008-0000-0800-00003E020000}"/>
                    </a:ext>
                  </a:extLst>
                </xdr:cNvPr>
                <xdr:cNvSpPr txBox="1"/>
              </xdr:nvSpPr>
              <xdr:spPr>
                <a:xfrm rot="16200000">
                  <a:off x="26864212"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563" name="Flecha abajo 562">
                <a:extLst>
                  <a:ext uri="{FF2B5EF4-FFF2-40B4-BE49-F238E27FC236}">
                    <a16:creationId xmlns:a16="http://schemas.microsoft.com/office/drawing/2014/main" id="{00000000-0008-0000-0800-000033020000}"/>
                  </a:ext>
                </a:extLst>
              </xdr:cNvPr>
              <xdr:cNvSpPr/>
            </xdr:nvSpPr>
            <xdr:spPr>
              <a:xfrm rot="10800000">
                <a:off x="28975706" y="15829191"/>
                <a:ext cx="468299" cy="298760"/>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64" name="Grupo 563">
                <a:extLst>
                  <a:ext uri="{FF2B5EF4-FFF2-40B4-BE49-F238E27FC236}">
                    <a16:creationId xmlns:a16="http://schemas.microsoft.com/office/drawing/2014/main" id="{00000000-0008-0000-0800-000034020000}"/>
                  </a:ext>
                </a:extLst>
              </xdr:cNvPr>
              <xdr:cNvGrpSpPr/>
            </xdr:nvGrpSpPr>
            <xdr:grpSpPr>
              <a:xfrm>
                <a:off x="28362945" y="16254641"/>
                <a:ext cx="2161382" cy="750055"/>
                <a:chOff x="16761275" y="17298378"/>
                <a:chExt cx="2158482" cy="736372"/>
              </a:xfrm>
            </xdr:grpSpPr>
            <xdr:grpSp>
              <xdr:nvGrpSpPr>
                <xdr:cNvPr id="565" name="Grupo 564">
                  <a:extLst>
                    <a:ext uri="{FF2B5EF4-FFF2-40B4-BE49-F238E27FC236}">
                      <a16:creationId xmlns:a16="http://schemas.microsoft.com/office/drawing/2014/main" id="{00000000-0008-0000-0800-000035020000}"/>
                    </a:ext>
                  </a:extLst>
                </xdr:cNvPr>
                <xdr:cNvGrpSpPr/>
              </xdr:nvGrpSpPr>
              <xdr:grpSpPr>
                <a:xfrm>
                  <a:off x="16761275" y="17298378"/>
                  <a:ext cx="2158482" cy="736372"/>
                  <a:chOff x="28351843" y="12455641"/>
                  <a:chExt cx="2160000" cy="723042"/>
                </a:xfrm>
              </xdr:grpSpPr>
              <xdr:sp macro="" textlink="">
                <xdr:nvSpPr>
                  <xdr:cNvPr id="570" name="Cheurón 569">
                    <a:extLst>
                      <a:ext uri="{FF2B5EF4-FFF2-40B4-BE49-F238E27FC236}">
                        <a16:creationId xmlns:a16="http://schemas.microsoft.com/office/drawing/2014/main" id="{00000000-0008-0000-0800-00003A02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71" name="CuadroTexto 570">
                    <a:extLst>
                      <a:ext uri="{FF2B5EF4-FFF2-40B4-BE49-F238E27FC236}">
                        <a16:creationId xmlns:a16="http://schemas.microsoft.com/office/drawing/2014/main" id="{00000000-0008-0000-0800-00003B020000}"/>
                      </a:ext>
                    </a:extLst>
                  </xdr:cNvPr>
                  <xdr:cNvSpPr txBox="1"/>
                </xdr:nvSpPr>
                <xdr:spPr>
                  <a:xfrm>
                    <a:off x="28448411" y="12455641"/>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T$28">
                <xdr:nvSpPr>
                  <xdr:cNvPr id="572" name="Rectángulo redondeado 571">
                    <a:extLst>
                      <a:ext uri="{FF2B5EF4-FFF2-40B4-BE49-F238E27FC236}">
                        <a16:creationId xmlns:a16="http://schemas.microsoft.com/office/drawing/2014/main" id="{00000000-0008-0000-0800-00003C020000}"/>
                      </a:ext>
                    </a:extLst>
                  </xdr:cNvPr>
                  <xdr:cNvSpPr/>
                </xdr:nvSpPr>
                <xdr:spPr>
                  <a:xfrm>
                    <a:off x="29530050" y="12556922"/>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14B0E5C-9AF2-4542-AEC1-CB24417AEDA2}" type="TxLink">
                      <a:rPr lang="en-US" sz="1100" b="1" i="0" u="none" strike="noStrike">
                        <a:solidFill>
                          <a:srgbClr val="000000"/>
                        </a:solidFill>
                        <a:latin typeface="Century Gothic"/>
                      </a:rPr>
                      <a:pPr algn="ctr"/>
                      <a:t>-</a:t>
                    </a:fld>
                    <a:endParaRPr lang="es-CO" sz="5400">
                      <a:solidFill>
                        <a:schemeClr val="tx1">
                          <a:lumMod val="95000"/>
                          <a:lumOff val="5000"/>
                        </a:schemeClr>
                      </a:solidFill>
                    </a:endParaRPr>
                  </a:p>
                </xdr:txBody>
              </xdr:sp>
            </xdr:grpSp>
            <xdr:grpSp>
              <xdr:nvGrpSpPr>
                <xdr:cNvPr id="566" name="Grupo 565">
                  <a:extLst>
                    <a:ext uri="{FF2B5EF4-FFF2-40B4-BE49-F238E27FC236}">
                      <a16:creationId xmlns:a16="http://schemas.microsoft.com/office/drawing/2014/main" id="{00000000-0008-0000-0800-000036020000}"/>
                    </a:ext>
                  </a:extLst>
                </xdr:cNvPr>
                <xdr:cNvGrpSpPr/>
              </xdr:nvGrpSpPr>
              <xdr:grpSpPr>
                <a:xfrm>
                  <a:off x="17936902" y="17738142"/>
                  <a:ext cx="825525" cy="278713"/>
                  <a:chOff x="17936902" y="17919981"/>
                  <a:chExt cx="825525" cy="278713"/>
                </a:xfrm>
              </xdr:grpSpPr>
              <xdr:sp macro="" textlink="">
                <xdr:nvSpPr>
                  <xdr:cNvPr id="567" name="CuadroTexto 566">
                    <a:extLst>
                      <a:ext uri="{FF2B5EF4-FFF2-40B4-BE49-F238E27FC236}">
                        <a16:creationId xmlns:a16="http://schemas.microsoft.com/office/drawing/2014/main" id="{00000000-0008-0000-0800-000037020000}"/>
                      </a:ext>
                    </a:extLst>
                  </xdr:cNvPr>
                  <xdr:cNvSpPr txBox="1"/>
                </xdr:nvSpPr>
                <xdr:spPr>
                  <a:xfrm>
                    <a:off x="17936902" y="1792671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chemeClr val="tx1">
                            <a:lumMod val="95000"/>
                            <a:lumOff val="5000"/>
                          </a:schemeClr>
                        </a:solidFill>
                        <a:latin typeface="Century Gothic" panose="020B0502020202020204" pitchFamily="34" charset="0"/>
                      </a:rPr>
                      <a:t>(</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  </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a:t>
                    </a:r>
                  </a:p>
                </xdr:txBody>
              </xdr:sp>
              <xdr:sp macro="" textlink="$N$28">
                <xdr:nvSpPr>
                  <xdr:cNvPr id="568" name="Rectángulo 567">
                    <a:extLst>
                      <a:ext uri="{FF2B5EF4-FFF2-40B4-BE49-F238E27FC236}">
                        <a16:creationId xmlns:a16="http://schemas.microsoft.com/office/drawing/2014/main" id="{00000000-0008-0000-0800-000038020000}"/>
                      </a:ext>
                    </a:extLst>
                  </xdr:cNvPr>
                  <xdr:cNvSpPr/>
                </xdr:nvSpPr>
                <xdr:spPr>
                  <a:xfrm>
                    <a:off x="17989607" y="1791998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C5B8C5E-24BA-4436-8D1F-A2FC47E58997}" type="TxLink">
                      <a:rPr lang="en-US" sz="1100" b="0" i="0" u="none" strike="noStrike">
                        <a:solidFill>
                          <a:srgbClr val="000000"/>
                        </a:solidFill>
                        <a:latin typeface="Century Gothic"/>
                      </a:rPr>
                      <a:pPr algn="ctr"/>
                      <a:t>-</a:t>
                    </a:fld>
                    <a:endParaRPr lang="es-CO" sz="1100" b="1">
                      <a:solidFill>
                        <a:schemeClr val="tx1">
                          <a:lumMod val="95000"/>
                          <a:lumOff val="5000"/>
                        </a:schemeClr>
                      </a:solidFill>
                    </a:endParaRPr>
                  </a:p>
                </xdr:txBody>
              </xdr:sp>
              <xdr:sp macro="" textlink="$M$28">
                <xdr:nvSpPr>
                  <xdr:cNvPr id="569" name="Rectángulo 568">
                    <a:extLst>
                      <a:ext uri="{FF2B5EF4-FFF2-40B4-BE49-F238E27FC236}">
                        <a16:creationId xmlns:a16="http://schemas.microsoft.com/office/drawing/2014/main" id="{00000000-0008-0000-0800-000039020000}"/>
                      </a:ext>
                    </a:extLst>
                  </xdr:cNvPr>
                  <xdr:cNvSpPr/>
                </xdr:nvSpPr>
                <xdr:spPr>
                  <a:xfrm>
                    <a:off x="18275603" y="1791998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B9F7AEF-9F98-4FEA-AADF-8809D0C3E427}" type="TxLink">
                      <a:rPr lang="en-US" sz="1100" b="0" i="0" u="none" strike="noStrike">
                        <a:solidFill>
                          <a:srgbClr val="000000"/>
                        </a:solidFill>
                        <a:latin typeface="Century Gothic"/>
                      </a:rPr>
                      <a:pPr algn="ctr"/>
                      <a:t>-</a:t>
                    </a:fld>
                    <a:endParaRPr lang="es-CO" sz="1100" b="1">
                      <a:solidFill>
                        <a:schemeClr val="tx1">
                          <a:lumMod val="95000"/>
                          <a:lumOff val="5000"/>
                        </a:schemeClr>
                      </a:solidFill>
                    </a:endParaRPr>
                  </a:p>
                </xdr:txBody>
              </xdr:sp>
            </xdr:grpSp>
          </xdr:grpSp>
        </xdr:grpSp>
        <xdr:grpSp>
          <xdr:nvGrpSpPr>
            <xdr:cNvPr id="485" name="Grupo 484">
              <a:extLst>
                <a:ext uri="{FF2B5EF4-FFF2-40B4-BE49-F238E27FC236}">
                  <a16:creationId xmlns:a16="http://schemas.microsoft.com/office/drawing/2014/main" id="{00000000-0008-0000-0800-0000E5010000}"/>
                </a:ext>
              </a:extLst>
            </xdr:cNvPr>
            <xdr:cNvGrpSpPr/>
          </xdr:nvGrpSpPr>
          <xdr:grpSpPr>
            <a:xfrm>
              <a:off x="11631000" y="13726521"/>
              <a:ext cx="10822329" cy="1894485"/>
              <a:chOff x="11631000" y="13726521"/>
              <a:chExt cx="10822329" cy="1894485"/>
            </a:xfrm>
          </xdr:grpSpPr>
          <xdr:grpSp>
            <xdr:nvGrpSpPr>
              <xdr:cNvPr id="486" name="Grupo 485">
                <a:extLst>
                  <a:ext uri="{FF2B5EF4-FFF2-40B4-BE49-F238E27FC236}">
                    <a16:creationId xmlns:a16="http://schemas.microsoft.com/office/drawing/2014/main" id="{00000000-0008-0000-0800-0000E6010000}"/>
                  </a:ext>
                </a:extLst>
              </xdr:cNvPr>
              <xdr:cNvGrpSpPr/>
            </xdr:nvGrpSpPr>
            <xdr:grpSpPr>
              <a:xfrm>
                <a:off x="20292295" y="14063295"/>
                <a:ext cx="2161034" cy="726200"/>
                <a:chOff x="20292295" y="14063295"/>
                <a:chExt cx="2161034" cy="726200"/>
              </a:xfrm>
            </xdr:grpSpPr>
            <xdr:grpSp>
              <xdr:nvGrpSpPr>
                <xdr:cNvPr id="554" name="Grupo 553">
                  <a:extLst>
                    <a:ext uri="{FF2B5EF4-FFF2-40B4-BE49-F238E27FC236}">
                      <a16:creationId xmlns:a16="http://schemas.microsoft.com/office/drawing/2014/main" id="{00000000-0008-0000-0800-00002A020000}"/>
                    </a:ext>
                  </a:extLst>
                </xdr:cNvPr>
                <xdr:cNvGrpSpPr/>
              </xdr:nvGrpSpPr>
              <xdr:grpSpPr>
                <a:xfrm>
                  <a:off x="20292295" y="14063295"/>
                  <a:ext cx="2161034" cy="726200"/>
                  <a:chOff x="28351843" y="12458683"/>
                  <a:chExt cx="2160000" cy="726638"/>
                </a:xfrm>
              </xdr:grpSpPr>
              <xdr:sp macro="" textlink="">
                <xdr:nvSpPr>
                  <xdr:cNvPr id="559" name="Cheurón 558">
                    <a:extLst>
                      <a:ext uri="{FF2B5EF4-FFF2-40B4-BE49-F238E27FC236}">
                        <a16:creationId xmlns:a16="http://schemas.microsoft.com/office/drawing/2014/main" id="{00000000-0008-0000-0800-00002F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60" name="CuadroTexto 559">
                    <a:extLst>
                      <a:ext uri="{FF2B5EF4-FFF2-40B4-BE49-F238E27FC236}">
                        <a16:creationId xmlns:a16="http://schemas.microsoft.com/office/drawing/2014/main" id="{00000000-0008-0000-0800-000030020000}"/>
                      </a:ext>
                    </a:extLst>
                  </xdr:cNvPr>
                  <xdr:cNvSpPr txBox="1"/>
                </xdr:nvSpPr>
                <xdr:spPr>
                  <a:xfrm>
                    <a:off x="2847066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T$24">
                <xdr:nvSpPr>
                  <xdr:cNvPr id="561" name="Rectángulo redondeado 560">
                    <a:extLst>
                      <a:ext uri="{FF2B5EF4-FFF2-40B4-BE49-F238E27FC236}">
                        <a16:creationId xmlns:a16="http://schemas.microsoft.com/office/drawing/2014/main" id="{00000000-0008-0000-0800-000031020000}"/>
                      </a:ext>
                    </a:extLst>
                  </xdr:cNvPr>
                  <xdr:cNvSpPr/>
                </xdr:nvSpPr>
                <xdr:spPr>
                  <a:xfrm>
                    <a:off x="29570871"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04E983-D614-4556-80CE-1FFC69A45038}" type="TxLink">
                      <a:rPr lang="en-US" sz="1600" b="1" i="0" u="none" strike="noStrike">
                        <a:solidFill>
                          <a:srgbClr val="FFFF00"/>
                        </a:solidFill>
                        <a:latin typeface="Century Gothic"/>
                      </a:rPr>
                      <a:pPr algn="ctr"/>
                      <a:t>-</a:t>
                    </a:fld>
                    <a:endParaRPr lang="es-CO" sz="8800">
                      <a:solidFill>
                        <a:srgbClr val="FFFF00"/>
                      </a:solidFill>
                    </a:endParaRPr>
                  </a:p>
                </xdr:txBody>
              </xdr:sp>
            </xdr:grpSp>
            <xdr:grpSp>
              <xdr:nvGrpSpPr>
                <xdr:cNvPr id="555" name="Grupo 554">
                  <a:extLst>
                    <a:ext uri="{FF2B5EF4-FFF2-40B4-BE49-F238E27FC236}">
                      <a16:creationId xmlns:a16="http://schemas.microsoft.com/office/drawing/2014/main" id="{00000000-0008-0000-0800-00002B020000}"/>
                    </a:ext>
                  </a:extLst>
                </xdr:cNvPr>
                <xdr:cNvGrpSpPr/>
              </xdr:nvGrpSpPr>
              <xdr:grpSpPr>
                <a:xfrm>
                  <a:off x="21484084" y="14510288"/>
                  <a:ext cx="826634" cy="273422"/>
                  <a:chOff x="21838689" y="15788044"/>
                  <a:chExt cx="825525" cy="275854"/>
                </a:xfrm>
              </xdr:grpSpPr>
              <xdr:sp macro="" textlink="">
                <xdr:nvSpPr>
                  <xdr:cNvPr id="556" name="CuadroTexto 555">
                    <a:extLst>
                      <a:ext uri="{FF2B5EF4-FFF2-40B4-BE49-F238E27FC236}">
                        <a16:creationId xmlns:a16="http://schemas.microsoft.com/office/drawing/2014/main" id="{00000000-0008-0000-0800-00002C020000}"/>
                      </a:ext>
                    </a:extLst>
                  </xdr:cNvPr>
                  <xdr:cNvSpPr txBox="1"/>
                </xdr:nvSpPr>
                <xdr:spPr>
                  <a:xfrm>
                    <a:off x="21838689" y="15789983"/>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4">
                <xdr:nvSpPr>
                  <xdr:cNvPr id="557" name="Rectángulo 556">
                    <a:extLst>
                      <a:ext uri="{FF2B5EF4-FFF2-40B4-BE49-F238E27FC236}">
                        <a16:creationId xmlns:a16="http://schemas.microsoft.com/office/drawing/2014/main" id="{00000000-0008-0000-0800-00002D02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7DB69B3-D1A9-45D8-91AE-3C304F754922}"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4">
                <xdr:nvSpPr>
                  <xdr:cNvPr id="558" name="Rectángulo 557">
                    <a:extLst>
                      <a:ext uri="{FF2B5EF4-FFF2-40B4-BE49-F238E27FC236}">
                        <a16:creationId xmlns:a16="http://schemas.microsoft.com/office/drawing/2014/main" id="{00000000-0008-0000-0800-00002E02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9EC32AB7-BCF1-4E92-AF60-CEA7DBBE21A7}" type="TxLink">
                      <a:rPr lang="en-US" sz="1100" b="1" i="0" u="none" strike="noStrike">
                        <a:solidFill>
                          <a:srgbClr val="FFFF00"/>
                        </a:solidFill>
                        <a:latin typeface="Century Gothic"/>
                      </a:rPr>
                      <a:pPr algn="ctr"/>
                      <a:t>15</a:t>
                    </a:fld>
                    <a:endParaRPr lang="es-CO" sz="1100" b="1">
                      <a:solidFill>
                        <a:srgbClr val="FFFF00"/>
                      </a:solidFill>
                    </a:endParaRPr>
                  </a:p>
                </xdr:txBody>
              </xdr:sp>
            </xdr:grpSp>
          </xdr:grpSp>
          <xdr:grpSp>
            <xdr:nvGrpSpPr>
              <xdr:cNvPr id="487" name="Grupo 486">
                <a:extLst>
                  <a:ext uri="{FF2B5EF4-FFF2-40B4-BE49-F238E27FC236}">
                    <a16:creationId xmlns:a16="http://schemas.microsoft.com/office/drawing/2014/main" id="{00000000-0008-0000-0800-0000E7010000}"/>
                  </a:ext>
                </a:extLst>
              </xdr:cNvPr>
              <xdr:cNvGrpSpPr/>
            </xdr:nvGrpSpPr>
            <xdr:grpSpPr>
              <a:xfrm>
                <a:off x="11631000" y="14011630"/>
                <a:ext cx="720357" cy="1609376"/>
                <a:chOff x="27309535" y="8406495"/>
                <a:chExt cx="720013" cy="1610348"/>
              </a:xfrm>
            </xdr:grpSpPr>
            <xdr:sp macro="" textlink="">
              <xdr:nvSpPr>
                <xdr:cNvPr id="552" name="Rectángulo 551">
                  <a:extLst>
                    <a:ext uri="{FF2B5EF4-FFF2-40B4-BE49-F238E27FC236}">
                      <a16:creationId xmlns:a16="http://schemas.microsoft.com/office/drawing/2014/main" id="{00000000-0008-0000-0800-000028020000}"/>
                    </a:ext>
                  </a:extLst>
                </xdr:cNvPr>
                <xdr:cNvSpPr/>
              </xdr:nvSpPr>
              <xdr:spPr>
                <a:xfrm>
                  <a:off x="27309535" y="8450034"/>
                  <a:ext cx="720013"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53" name="CuadroTexto 552">
                  <a:extLst>
                    <a:ext uri="{FF2B5EF4-FFF2-40B4-BE49-F238E27FC236}">
                      <a16:creationId xmlns:a16="http://schemas.microsoft.com/office/drawing/2014/main" id="{00000000-0008-0000-0800-000029020000}"/>
                    </a:ext>
                  </a:extLst>
                </xdr:cNvPr>
                <xdr:cNvSpPr txBox="1"/>
              </xdr:nvSpPr>
              <xdr:spPr>
                <a:xfrm rot="16200000">
                  <a:off x="26864178"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488" name="Flecha abajo 487">
                <a:extLst>
                  <a:ext uri="{FF2B5EF4-FFF2-40B4-BE49-F238E27FC236}">
                    <a16:creationId xmlns:a16="http://schemas.microsoft.com/office/drawing/2014/main" id="{00000000-0008-0000-0800-0000E8010000}"/>
                  </a:ext>
                </a:extLst>
              </xdr:cNvPr>
              <xdr:cNvSpPr/>
            </xdr:nvSpPr>
            <xdr:spPr>
              <a:xfrm rot="10800000">
                <a:off x="17011453" y="13726521"/>
                <a:ext cx="468224" cy="287826"/>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89" name="Grupo 488">
                <a:extLst>
                  <a:ext uri="{FF2B5EF4-FFF2-40B4-BE49-F238E27FC236}">
                    <a16:creationId xmlns:a16="http://schemas.microsoft.com/office/drawing/2014/main" id="{00000000-0008-0000-0800-0000E9010000}"/>
                  </a:ext>
                </a:extLst>
              </xdr:cNvPr>
              <xdr:cNvGrpSpPr/>
            </xdr:nvGrpSpPr>
            <xdr:grpSpPr>
              <a:xfrm>
                <a:off x="12453559" y="14063294"/>
                <a:ext cx="2161034" cy="730012"/>
                <a:chOff x="12820100" y="15204109"/>
                <a:chExt cx="2157065" cy="743322"/>
              </a:xfrm>
            </xdr:grpSpPr>
            <xdr:grpSp>
              <xdr:nvGrpSpPr>
                <xdr:cNvPr id="544" name="Grupo 543">
                  <a:extLst>
                    <a:ext uri="{FF2B5EF4-FFF2-40B4-BE49-F238E27FC236}">
                      <a16:creationId xmlns:a16="http://schemas.microsoft.com/office/drawing/2014/main" id="{00000000-0008-0000-0800-000020020000}"/>
                    </a:ext>
                  </a:extLst>
                </xdr:cNvPr>
                <xdr:cNvGrpSpPr/>
              </xdr:nvGrpSpPr>
              <xdr:grpSpPr>
                <a:xfrm>
                  <a:off x="12820100" y="15204109"/>
                  <a:ext cx="2157065" cy="739441"/>
                  <a:chOff x="28351843" y="12458683"/>
                  <a:chExt cx="2160000" cy="726638"/>
                </a:xfrm>
              </xdr:grpSpPr>
              <xdr:sp macro="" textlink="">
                <xdr:nvSpPr>
                  <xdr:cNvPr id="549" name="Cheurón 548">
                    <a:extLst>
                      <a:ext uri="{FF2B5EF4-FFF2-40B4-BE49-F238E27FC236}">
                        <a16:creationId xmlns:a16="http://schemas.microsoft.com/office/drawing/2014/main" id="{00000000-0008-0000-0800-000025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50" name="CuadroTexto 549">
                    <a:extLst>
                      <a:ext uri="{FF2B5EF4-FFF2-40B4-BE49-F238E27FC236}">
                        <a16:creationId xmlns:a16="http://schemas.microsoft.com/office/drawing/2014/main" id="{00000000-0008-0000-0800-00002602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T$20">
                <xdr:nvSpPr>
                  <xdr:cNvPr id="551" name="Rectángulo redondeado 550">
                    <a:extLst>
                      <a:ext uri="{FF2B5EF4-FFF2-40B4-BE49-F238E27FC236}">
                        <a16:creationId xmlns:a16="http://schemas.microsoft.com/office/drawing/2014/main" id="{00000000-0008-0000-0800-000027020000}"/>
                      </a:ext>
                    </a:extLst>
                  </xdr:cNvPr>
                  <xdr:cNvSpPr/>
                </xdr:nvSpPr>
                <xdr:spPr>
                  <a:xfrm>
                    <a:off x="29557264" y="1257052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4DE78FA-A512-4BAE-AE21-262DDBD95E11}" type="TxLink">
                      <a:rPr lang="en-US" sz="1600" b="1" i="0" u="none" strike="noStrike">
                        <a:solidFill>
                          <a:srgbClr val="FFFF00"/>
                        </a:solidFill>
                        <a:latin typeface="Century Gothic"/>
                      </a:rPr>
                      <a:pPr algn="ctr"/>
                      <a:t>22,2%</a:t>
                    </a:fld>
                    <a:endParaRPr lang="es-CO" sz="4000">
                      <a:solidFill>
                        <a:srgbClr val="FFFF00"/>
                      </a:solidFill>
                    </a:endParaRPr>
                  </a:p>
                </xdr:txBody>
              </xdr:sp>
            </xdr:grpSp>
            <xdr:grpSp>
              <xdr:nvGrpSpPr>
                <xdr:cNvPr id="545" name="Grupo 544">
                  <a:extLst>
                    <a:ext uri="{FF2B5EF4-FFF2-40B4-BE49-F238E27FC236}">
                      <a16:creationId xmlns:a16="http://schemas.microsoft.com/office/drawing/2014/main" id="{00000000-0008-0000-0800-000021020000}"/>
                    </a:ext>
                  </a:extLst>
                </xdr:cNvPr>
                <xdr:cNvGrpSpPr/>
              </xdr:nvGrpSpPr>
              <xdr:grpSpPr>
                <a:xfrm>
                  <a:off x="14033393" y="15663117"/>
                  <a:ext cx="825525" cy="284314"/>
                  <a:chOff x="14059370" y="15823739"/>
                  <a:chExt cx="825525" cy="284314"/>
                </a:xfrm>
              </xdr:grpSpPr>
              <xdr:sp macro="" textlink="">
                <xdr:nvSpPr>
                  <xdr:cNvPr id="546" name="CuadroTexto 545">
                    <a:extLst>
                      <a:ext uri="{FF2B5EF4-FFF2-40B4-BE49-F238E27FC236}">
                        <a16:creationId xmlns:a16="http://schemas.microsoft.com/office/drawing/2014/main" id="{00000000-0008-0000-0800-000022020000}"/>
                      </a:ext>
                    </a:extLst>
                  </xdr:cNvPr>
                  <xdr:cNvSpPr txBox="1"/>
                </xdr:nvSpPr>
                <xdr:spPr>
                  <a:xfrm>
                    <a:off x="14059370" y="1582373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b="0" i="0">
                        <a:solidFill>
                          <a:srgbClr val="FFFF00"/>
                        </a:solidFill>
                        <a:latin typeface="Century Gothic" panose="020B0502020202020204" pitchFamily="34" charset="0"/>
                      </a:rPr>
                      <a:t>(</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  </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a:t>
                    </a:r>
                  </a:p>
                </xdr:txBody>
              </xdr:sp>
              <xdr:sp macro="" textlink="$N$20">
                <xdr:nvSpPr>
                  <xdr:cNvPr id="547" name="Rectángulo 546">
                    <a:extLst>
                      <a:ext uri="{FF2B5EF4-FFF2-40B4-BE49-F238E27FC236}">
                        <a16:creationId xmlns:a16="http://schemas.microsoft.com/office/drawing/2014/main" id="{00000000-0008-0000-0800-000023020000}"/>
                      </a:ext>
                    </a:extLst>
                  </xdr:cNvPr>
                  <xdr:cNvSpPr/>
                </xdr:nvSpPr>
                <xdr:spPr>
                  <a:xfrm>
                    <a:off x="14112075" y="1583219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3096044A-B804-4C28-8983-F177C4A6559C}"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M$20">
                <xdr:nvSpPr>
                  <xdr:cNvPr id="548" name="Rectángulo 547">
                    <a:extLst>
                      <a:ext uri="{FF2B5EF4-FFF2-40B4-BE49-F238E27FC236}">
                        <a16:creationId xmlns:a16="http://schemas.microsoft.com/office/drawing/2014/main" id="{00000000-0008-0000-0800-000024020000}"/>
                      </a:ext>
                    </a:extLst>
                  </xdr:cNvPr>
                  <xdr:cNvSpPr/>
                </xdr:nvSpPr>
                <xdr:spPr>
                  <a:xfrm>
                    <a:off x="14398071" y="1583219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B58196C6-0F12-48D4-A159-F612FD7EA6FB}" type="TxLink">
                      <a:rPr lang="en-US" sz="1100" b="1" i="0" u="none" strike="noStrike">
                        <a:solidFill>
                          <a:srgbClr val="FFFF00"/>
                        </a:solidFill>
                        <a:latin typeface="Century Gothic"/>
                      </a:rPr>
                      <a:pPr algn="ctr"/>
                      <a:t>34</a:t>
                    </a:fld>
                    <a:endParaRPr lang="es-CO" sz="1100" b="1">
                      <a:solidFill>
                        <a:srgbClr val="FFFF00"/>
                      </a:solidFill>
                    </a:endParaRPr>
                  </a:p>
                </xdr:txBody>
              </xdr:sp>
            </xdr:grpSp>
          </xdr:grpSp>
          <xdr:grpSp>
            <xdr:nvGrpSpPr>
              <xdr:cNvPr id="490" name="Grupo 489">
                <a:extLst>
                  <a:ext uri="{FF2B5EF4-FFF2-40B4-BE49-F238E27FC236}">
                    <a16:creationId xmlns:a16="http://schemas.microsoft.com/office/drawing/2014/main" id="{00000000-0008-0000-0800-0000EA010000}"/>
                  </a:ext>
                </a:extLst>
              </xdr:cNvPr>
              <xdr:cNvGrpSpPr/>
            </xdr:nvGrpSpPr>
            <xdr:grpSpPr>
              <a:xfrm>
                <a:off x="14403034" y="14063294"/>
                <a:ext cx="2169673" cy="730012"/>
                <a:chOff x="14765995" y="15204109"/>
                <a:chExt cx="2165688" cy="743322"/>
              </a:xfrm>
            </xdr:grpSpPr>
            <xdr:grpSp>
              <xdr:nvGrpSpPr>
                <xdr:cNvPr id="536" name="Grupo 535">
                  <a:extLst>
                    <a:ext uri="{FF2B5EF4-FFF2-40B4-BE49-F238E27FC236}">
                      <a16:creationId xmlns:a16="http://schemas.microsoft.com/office/drawing/2014/main" id="{00000000-0008-0000-0800-000018020000}"/>
                    </a:ext>
                  </a:extLst>
                </xdr:cNvPr>
                <xdr:cNvGrpSpPr/>
              </xdr:nvGrpSpPr>
              <xdr:grpSpPr>
                <a:xfrm>
                  <a:off x="14765995" y="15204109"/>
                  <a:ext cx="2165688" cy="739441"/>
                  <a:chOff x="28351843" y="12458683"/>
                  <a:chExt cx="2168635" cy="726638"/>
                </a:xfrm>
              </xdr:grpSpPr>
              <xdr:sp macro="" textlink="">
                <xdr:nvSpPr>
                  <xdr:cNvPr id="541" name="Cheurón 540">
                    <a:extLst>
                      <a:ext uri="{FF2B5EF4-FFF2-40B4-BE49-F238E27FC236}">
                        <a16:creationId xmlns:a16="http://schemas.microsoft.com/office/drawing/2014/main" id="{00000000-0008-0000-0800-00001D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42" name="CuadroTexto 541">
                    <a:extLst>
                      <a:ext uri="{FF2B5EF4-FFF2-40B4-BE49-F238E27FC236}">
                        <a16:creationId xmlns:a16="http://schemas.microsoft.com/office/drawing/2014/main" id="{00000000-0008-0000-0800-00001E02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T$21">
                <xdr:nvSpPr>
                  <xdr:cNvPr id="543" name="Rectángulo redondeado 542">
                    <a:extLst>
                      <a:ext uri="{FF2B5EF4-FFF2-40B4-BE49-F238E27FC236}">
                        <a16:creationId xmlns:a16="http://schemas.microsoft.com/office/drawing/2014/main" id="{00000000-0008-0000-0800-00001F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E966221-3B11-4863-B8C4-9B9AC1257276}" type="TxLink">
                      <a:rPr lang="en-US" sz="1600" b="1" i="0" u="none" strike="noStrike">
                        <a:solidFill>
                          <a:srgbClr val="FFFF00"/>
                        </a:solidFill>
                        <a:latin typeface="Century Gothic"/>
                      </a:rPr>
                      <a:pPr algn="ctr"/>
                      <a:t>7,7%</a:t>
                    </a:fld>
                    <a:endParaRPr lang="es-CO" sz="4800">
                      <a:solidFill>
                        <a:srgbClr val="FFFF00"/>
                      </a:solidFill>
                    </a:endParaRPr>
                  </a:p>
                </xdr:txBody>
              </xdr:sp>
            </xdr:grpSp>
            <xdr:grpSp>
              <xdr:nvGrpSpPr>
                <xdr:cNvPr id="537" name="Grupo 536">
                  <a:extLst>
                    <a:ext uri="{FF2B5EF4-FFF2-40B4-BE49-F238E27FC236}">
                      <a16:creationId xmlns:a16="http://schemas.microsoft.com/office/drawing/2014/main" id="{00000000-0008-0000-0800-000019020000}"/>
                    </a:ext>
                  </a:extLst>
                </xdr:cNvPr>
                <xdr:cNvGrpSpPr/>
              </xdr:nvGrpSpPr>
              <xdr:grpSpPr>
                <a:xfrm>
                  <a:off x="15974404" y="15663123"/>
                  <a:ext cx="825525" cy="284308"/>
                  <a:chOff x="15991722" y="15768329"/>
                  <a:chExt cx="825525" cy="284308"/>
                </a:xfrm>
              </xdr:grpSpPr>
              <xdr:sp macro="" textlink="">
                <xdr:nvSpPr>
                  <xdr:cNvPr id="538" name="CuadroTexto 537">
                    <a:extLst>
                      <a:ext uri="{FF2B5EF4-FFF2-40B4-BE49-F238E27FC236}">
                        <a16:creationId xmlns:a16="http://schemas.microsoft.com/office/drawing/2014/main" id="{00000000-0008-0000-0800-00001A020000}"/>
                      </a:ext>
                    </a:extLst>
                  </xdr:cNvPr>
                  <xdr:cNvSpPr txBox="1"/>
                </xdr:nvSpPr>
                <xdr:spPr>
                  <a:xfrm>
                    <a:off x="15991722" y="1576832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1">
                <xdr:nvSpPr>
                  <xdr:cNvPr id="539" name="Rectángulo 538">
                    <a:extLst>
                      <a:ext uri="{FF2B5EF4-FFF2-40B4-BE49-F238E27FC236}">
                        <a16:creationId xmlns:a16="http://schemas.microsoft.com/office/drawing/2014/main" id="{00000000-0008-0000-0800-00001B020000}"/>
                      </a:ext>
                    </a:extLst>
                  </xdr:cNvPr>
                  <xdr:cNvSpPr/>
                </xdr:nvSpPr>
                <xdr:spPr>
                  <a:xfrm>
                    <a:off x="16039588" y="1577678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B93EBFC-A428-4C3D-803C-317481E55B3D}"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M$21">
                <xdr:nvSpPr>
                  <xdr:cNvPr id="540" name="Rectángulo 539">
                    <a:extLst>
                      <a:ext uri="{FF2B5EF4-FFF2-40B4-BE49-F238E27FC236}">
                        <a16:creationId xmlns:a16="http://schemas.microsoft.com/office/drawing/2014/main" id="{00000000-0008-0000-0800-00001C020000}"/>
                      </a:ext>
                    </a:extLst>
                  </xdr:cNvPr>
                  <xdr:cNvSpPr/>
                </xdr:nvSpPr>
                <xdr:spPr>
                  <a:xfrm>
                    <a:off x="16325584" y="1577678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5FF24CFF-0D13-4CD8-977C-BCD914D1CB74}" type="TxLink">
                      <a:rPr lang="en-US" sz="1100" b="1" i="0" u="none" strike="noStrike">
                        <a:solidFill>
                          <a:srgbClr val="FFFF00"/>
                        </a:solidFill>
                        <a:latin typeface="Century Gothic"/>
                      </a:rPr>
                      <a:pPr algn="ctr"/>
                      <a:t>28</a:t>
                    </a:fld>
                    <a:endParaRPr lang="es-CO" sz="1100" b="1">
                      <a:solidFill>
                        <a:srgbClr val="FFFF00"/>
                      </a:solidFill>
                    </a:endParaRPr>
                  </a:p>
                </xdr:txBody>
              </xdr:sp>
            </xdr:grpSp>
          </xdr:grpSp>
          <xdr:grpSp>
            <xdr:nvGrpSpPr>
              <xdr:cNvPr id="491" name="Grupo 490">
                <a:extLst>
                  <a:ext uri="{FF2B5EF4-FFF2-40B4-BE49-F238E27FC236}">
                    <a16:creationId xmlns:a16="http://schemas.microsoft.com/office/drawing/2014/main" id="{00000000-0008-0000-0800-0000EB010000}"/>
                  </a:ext>
                </a:extLst>
              </xdr:cNvPr>
              <xdr:cNvGrpSpPr/>
            </xdr:nvGrpSpPr>
            <xdr:grpSpPr>
              <a:xfrm>
                <a:off x="16366116" y="14063294"/>
                <a:ext cx="2169673" cy="730012"/>
                <a:chOff x="16725472" y="15204109"/>
                <a:chExt cx="2165688" cy="743322"/>
              </a:xfrm>
            </xdr:grpSpPr>
            <xdr:grpSp>
              <xdr:nvGrpSpPr>
                <xdr:cNvPr id="528" name="Grupo 527">
                  <a:extLst>
                    <a:ext uri="{FF2B5EF4-FFF2-40B4-BE49-F238E27FC236}">
                      <a16:creationId xmlns:a16="http://schemas.microsoft.com/office/drawing/2014/main" id="{00000000-0008-0000-0800-000010020000}"/>
                    </a:ext>
                  </a:extLst>
                </xdr:cNvPr>
                <xdr:cNvGrpSpPr/>
              </xdr:nvGrpSpPr>
              <xdr:grpSpPr>
                <a:xfrm>
                  <a:off x="16725472" y="15204109"/>
                  <a:ext cx="2165688" cy="739441"/>
                  <a:chOff x="28351843" y="12458683"/>
                  <a:chExt cx="2168635" cy="726638"/>
                </a:xfrm>
              </xdr:grpSpPr>
              <xdr:sp macro="" textlink="">
                <xdr:nvSpPr>
                  <xdr:cNvPr id="533" name="Cheurón 532">
                    <a:extLst>
                      <a:ext uri="{FF2B5EF4-FFF2-40B4-BE49-F238E27FC236}">
                        <a16:creationId xmlns:a16="http://schemas.microsoft.com/office/drawing/2014/main" id="{00000000-0008-0000-0800-000015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34" name="CuadroTexto 533">
                    <a:extLst>
                      <a:ext uri="{FF2B5EF4-FFF2-40B4-BE49-F238E27FC236}">
                        <a16:creationId xmlns:a16="http://schemas.microsoft.com/office/drawing/2014/main" id="{00000000-0008-0000-0800-000016020000}"/>
                      </a:ext>
                    </a:extLst>
                  </xdr:cNvPr>
                  <xdr:cNvSpPr txBox="1"/>
                </xdr:nvSpPr>
                <xdr:spPr>
                  <a:xfrm>
                    <a:off x="28452122"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T$22">
                <xdr:nvSpPr>
                  <xdr:cNvPr id="535" name="Rectángulo redondeado 534">
                    <a:extLst>
                      <a:ext uri="{FF2B5EF4-FFF2-40B4-BE49-F238E27FC236}">
                        <a16:creationId xmlns:a16="http://schemas.microsoft.com/office/drawing/2014/main" id="{00000000-0008-0000-0800-000017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DBA75A-1F7B-4D6D-B1A3-1E76502B6F2B}" type="TxLink">
                      <a:rPr lang="en-US" sz="1600" b="1" i="0" u="none" strike="noStrike">
                        <a:solidFill>
                          <a:srgbClr val="FFFF00"/>
                        </a:solidFill>
                        <a:latin typeface="Century Gothic"/>
                      </a:rPr>
                      <a:pPr algn="ctr"/>
                      <a:t>-</a:t>
                    </a:fld>
                    <a:endParaRPr lang="es-CO" sz="6000">
                      <a:solidFill>
                        <a:srgbClr val="FFFF00"/>
                      </a:solidFill>
                    </a:endParaRPr>
                  </a:p>
                </xdr:txBody>
              </xdr:sp>
            </xdr:grpSp>
            <xdr:grpSp>
              <xdr:nvGrpSpPr>
                <xdr:cNvPr id="529" name="Grupo 528">
                  <a:extLst>
                    <a:ext uri="{FF2B5EF4-FFF2-40B4-BE49-F238E27FC236}">
                      <a16:creationId xmlns:a16="http://schemas.microsoft.com/office/drawing/2014/main" id="{00000000-0008-0000-0800-000011020000}"/>
                    </a:ext>
                  </a:extLst>
                </xdr:cNvPr>
                <xdr:cNvGrpSpPr/>
              </xdr:nvGrpSpPr>
              <xdr:grpSpPr>
                <a:xfrm>
                  <a:off x="17949031" y="15671577"/>
                  <a:ext cx="825525" cy="275854"/>
                  <a:chOff x="17966349" y="15786309"/>
                  <a:chExt cx="825525" cy="275854"/>
                </a:xfrm>
              </xdr:grpSpPr>
              <xdr:sp macro="" textlink="">
                <xdr:nvSpPr>
                  <xdr:cNvPr id="530" name="CuadroTexto 529">
                    <a:extLst>
                      <a:ext uri="{FF2B5EF4-FFF2-40B4-BE49-F238E27FC236}">
                        <a16:creationId xmlns:a16="http://schemas.microsoft.com/office/drawing/2014/main" id="{00000000-0008-0000-0800-000012020000}"/>
                      </a:ext>
                    </a:extLst>
                  </xdr:cNvPr>
                  <xdr:cNvSpPr txBox="1"/>
                </xdr:nvSpPr>
                <xdr:spPr>
                  <a:xfrm>
                    <a:off x="17966349" y="1578824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2">
                <xdr:nvSpPr>
                  <xdr:cNvPr id="531" name="Rectángulo 530">
                    <a:extLst>
                      <a:ext uri="{FF2B5EF4-FFF2-40B4-BE49-F238E27FC236}">
                        <a16:creationId xmlns:a16="http://schemas.microsoft.com/office/drawing/2014/main" id="{00000000-0008-0000-0800-000013020000}"/>
                      </a:ext>
                    </a:extLst>
                  </xdr:cNvPr>
                  <xdr:cNvSpPr/>
                </xdr:nvSpPr>
                <xdr:spPr>
                  <a:xfrm>
                    <a:off x="18019054" y="1578630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5A584B63-5A8B-4AA2-94F4-2CBA62080715}"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2">
                <xdr:nvSpPr>
                  <xdr:cNvPr id="532" name="Rectángulo 531">
                    <a:extLst>
                      <a:ext uri="{FF2B5EF4-FFF2-40B4-BE49-F238E27FC236}">
                        <a16:creationId xmlns:a16="http://schemas.microsoft.com/office/drawing/2014/main" id="{00000000-0008-0000-0800-000014020000}"/>
                      </a:ext>
                    </a:extLst>
                  </xdr:cNvPr>
                  <xdr:cNvSpPr/>
                </xdr:nvSpPr>
                <xdr:spPr>
                  <a:xfrm>
                    <a:off x="18305050" y="1578630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1D3CE411-27A1-4C4C-B565-CDFF8D787EC2}" type="TxLink">
                      <a:rPr lang="en-US" sz="1100" b="1" i="0" u="none" strike="noStrike">
                        <a:solidFill>
                          <a:srgbClr val="FFFF00"/>
                        </a:solidFill>
                        <a:latin typeface="Century Gothic"/>
                      </a:rPr>
                      <a:pPr algn="ctr"/>
                      <a:t>6</a:t>
                    </a:fld>
                    <a:endParaRPr lang="es-CO" sz="1100" b="1">
                      <a:solidFill>
                        <a:srgbClr val="FFFF00"/>
                      </a:solidFill>
                    </a:endParaRPr>
                  </a:p>
                </xdr:txBody>
              </xdr:sp>
            </xdr:grpSp>
          </xdr:grpSp>
          <xdr:grpSp>
            <xdr:nvGrpSpPr>
              <xdr:cNvPr id="492" name="Grupo 491">
                <a:extLst>
                  <a:ext uri="{FF2B5EF4-FFF2-40B4-BE49-F238E27FC236}">
                    <a16:creationId xmlns:a16="http://schemas.microsoft.com/office/drawing/2014/main" id="{00000000-0008-0000-0800-0000EC010000}"/>
                  </a:ext>
                </a:extLst>
              </xdr:cNvPr>
              <xdr:cNvGrpSpPr/>
            </xdr:nvGrpSpPr>
            <xdr:grpSpPr>
              <a:xfrm>
                <a:off x="18329207" y="14063299"/>
                <a:ext cx="2169673" cy="730012"/>
                <a:chOff x="18684957" y="15204109"/>
                <a:chExt cx="2165688" cy="743322"/>
              </a:xfrm>
            </xdr:grpSpPr>
            <xdr:grpSp>
              <xdr:nvGrpSpPr>
                <xdr:cNvPr id="520" name="Grupo 519">
                  <a:extLst>
                    <a:ext uri="{FF2B5EF4-FFF2-40B4-BE49-F238E27FC236}">
                      <a16:creationId xmlns:a16="http://schemas.microsoft.com/office/drawing/2014/main" id="{00000000-0008-0000-0800-000008020000}"/>
                    </a:ext>
                  </a:extLst>
                </xdr:cNvPr>
                <xdr:cNvGrpSpPr/>
              </xdr:nvGrpSpPr>
              <xdr:grpSpPr>
                <a:xfrm>
                  <a:off x="18684957" y="15204109"/>
                  <a:ext cx="2165688" cy="739441"/>
                  <a:chOff x="28351843" y="12458683"/>
                  <a:chExt cx="2168635" cy="726638"/>
                </a:xfrm>
              </xdr:grpSpPr>
              <xdr:sp macro="" textlink="">
                <xdr:nvSpPr>
                  <xdr:cNvPr id="525" name="Cheurón 524">
                    <a:extLst>
                      <a:ext uri="{FF2B5EF4-FFF2-40B4-BE49-F238E27FC236}">
                        <a16:creationId xmlns:a16="http://schemas.microsoft.com/office/drawing/2014/main" id="{00000000-0008-0000-0800-00000D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26" name="CuadroTexto 525">
                    <a:extLst>
                      <a:ext uri="{FF2B5EF4-FFF2-40B4-BE49-F238E27FC236}">
                        <a16:creationId xmlns:a16="http://schemas.microsoft.com/office/drawing/2014/main" id="{00000000-0008-0000-0800-00000E020000}"/>
                      </a:ext>
                    </a:extLst>
                  </xdr:cNvPr>
                  <xdr:cNvSpPr txBox="1"/>
                </xdr:nvSpPr>
                <xdr:spPr>
                  <a:xfrm>
                    <a:off x="2846199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T$23">
                <xdr:nvSpPr>
                  <xdr:cNvPr id="527" name="Rectángulo redondeado 526">
                    <a:extLst>
                      <a:ext uri="{FF2B5EF4-FFF2-40B4-BE49-F238E27FC236}">
                        <a16:creationId xmlns:a16="http://schemas.microsoft.com/office/drawing/2014/main" id="{00000000-0008-0000-0800-00000F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305C079-CEBE-4CE4-A785-1EEE104D9A3F}" type="TxLink">
                      <a:rPr lang="en-US" sz="1600" b="1" i="0" u="none" strike="noStrike">
                        <a:solidFill>
                          <a:srgbClr val="FFFF00"/>
                        </a:solidFill>
                        <a:latin typeface="Century Gothic"/>
                      </a:rPr>
                      <a:pPr algn="ctr"/>
                      <a:t>0,0%</a:t>
                    </a:fld>
                    <a:endParaRPr lang="es-CO" sz="7200">
                      <a:solidFill>
                        <a:srgbClr val="FFFF00"/>
                      </a:solidFill>
                    </a:endParaRPr>
                  </a:p>
                </xdr:txBody>
              </xdr:sp>
            </xdr:grpSp>
            <xdr:grpSp>
              <xdr:nvGrpSpPr>
                <xdr:cNvPr id="521" name="Grupo 520">
                  <a:extLst>
                    <a:ext uri="{FF2B5EF4-FFF2-40B4-BE49-F238E27FC236}">
                      <a16:creationId xmlns:a16="http://schemas.microsoft.com/office/drawing/2014/main" id="{00000000-0008-0000-0800-000009020000}"/>
                    </a:ext>
                  </a:extLst>
                </xdr:cNvPr>
                <xdr:cNvGrpSpPr/>
              </xdr:nvGrpSpPr>
              <xdr:grpSpPr>
                <a:xfrm>
                  <a:off x="19902520" y="15671577"/>
                  <a:ext cx="825525" cy="275854"/>
                  <a:chOff x="19911179" y="15782847"/>
                  <a:chExt cx="825525" cy="275854"/>
                </a:xfrm>
              </xdr:grpSpPr>
              <xdr:sp macro="" textlink="">
                <xdr:nvSpPr>
                  <xdr:cNvPr id="522" name="CuadroTexto 521">
                    <a:extLst>
                      <a:ext uri="{FF2B5EF4-FFF2-40B4-BE49-F238E27FC236}">
                        <a16:creationId xmlns:a16="http://schemas.microsoft.com/office/drawing/2014/main" id="{00000000-0008-0000-0800-00000A020000}"/>
                      </a:ext>
                    </a:extLst>
                  </xdr:cNvPr>
                  <xdr:cNvSpPr txBox="1"/>
                </xdr:nvSpPr>
                <xdr:spPr>
                  <a:xfrm>
                    <a:off x="19911179" y="1578477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3">
                <xdr:nvSpPr>
                  <xdr:cNvPr id="523" name="Rectángulo 522">
                    <a:extLst>
                      <a:ext uri="{FF2B5EF4-FFF2-40B4-BE49-F238E27FC236}">
                        <a16:creationId xmlns:a16="http://schemas.microsoft.com/office/drawing/2014/main" id="{00000000-0008-0000-0800-00000B020000}"/>
                      </a:ext>
                    </a:extLst>
                  </xdr:cNvPr>
                  <xdr:cNvSpPr/>
                </xdr:nvSpPr>
                <xdr:spPr>
                  <a:xfrm>
                    <a:off x="19963884" y="1578284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A417C47E-5094-47EE-B575-18F63F53B713}"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3">
                <xdr:nvSpPr>
                  <xdr:cNvPr id="524" name="Rectángulo 523">
                    <a:extLst>
                      <a:ext uri="{FF2B5EF4-FFF2-40B4-BE49-F238E27FC236}">
                        <a16:creationId xmlns:a16="http://schemas.microsoft.com/office/drawing/2014/main" id="{00000000-0008-0000-0800-00000C020000}"/>
                      </a:ext>
                    </a:extLst>
                  </xdr:cNvPr>
                  <xdr:cNvSpPr/>
                </xdr:nvSpPr>
                <xdr:spPr>
                  <a:xfrm>
                    <a:off x="20249880" y="1578284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DFB5E7AF-45BE-49AD-B7E5-77A1D0997A98}" type="TxLink">
                      <a:rPr lang="en-US" sz="1100" b="1" i="0" u="none" strike="noStrike">
                        <a:solidFill>
                          <a:srgbClr val="FFFF00"/>
                        </a:solidFill>
                        <a:latin typeface="Century Gothic"/>
                      </a:rPr>
                      <a:pPr algn="ctr"/>
                      <a:t>40</a:t>
                    </a:fld>
                    <a:endParaRPr lang="es-CO" sz="1100" b="1">
                      <a:solidFill>
                        <a:srgbClr val="FFFF00"/>
                      </a:solidFill>
                    </a:endParaRPr>
                  </a:p>
                </xdr:txBody>
              </xdr:sp>
            </xdr:grpSp>
          </xdr:grpSp>
          <xdr:grpSp>
            <xdr:nvGrpSpPr>
              <xdr:cNvPr id="493" name="Grupo 492">
                <a:extLst>
                  <a:ext uri="{FF2B5EF4-FFF2-40B4-BE49-F238E27FC236}">
                    <a16:creationId xmlns:a16="http://schemas.microsoft.com/office/drawing/2014/main" id="{00000000-0008-0000-0800-0000ED010000}"/>
                  </a:ext>
                </a:extLst>
              </xdr:cNvPr>
              <xdr:cNvGrpSpPr/>
            </xdr:nvGrpSpPr>
            <xdr:grpSpPr>
              <a:xfrm>
                <a:off x="14430259" y="14835712"/>
                <a:ext cx="2161034" cy="726200"/>
                <a:chOff x="26392196" y="14922583"/>
                <a:chExt cx="2159963" cy="753182"/>
              </a:xfrm>
            </xdr:grpSpPr>
            <xdr:grpSp>
              <xdr:nvGrpSpPr>
                <xdr:cNvPr id="512" name="Grupo 511">
                  <a:extLst>
                    <a:ext uri="{FF2B5EF4-FFF2-40B4-BE49-F238E27FC236}">
                      <a16:creationId xmlns:a16="http://schemas.microsoft.com/office/drawing/2014/main" id="{00000000-0008-0000-0800-000000020000}"/>
                    </a:ext>
                  </a:extLst>
                </xdr:cNvPr>
                <xdr:cNvGrpSpPr/>
              </xdr:nvGrpSpPr>
              <xdr:grpSpPr>
                <a:xfrm>
                  <a:off x="26392196" y="14922583"/>
                  <a:ext cx="2159963" cy="753182"/>
                  <a:chOff x="28351843" y="12458683"/>
                  <a:chExt cx="2160000" cy="726638"/>
                </a:xfrm>
              </xdr:grpSpPr>
              <xdr:sp macro="" textlink="">
                <xdr:nvSpPr>
                  <xdr:cNvPr id="517" name="Cheurón 516">
                    <a:extLst>
                      <a:ext uri="{FF2B5EF4-FFF2-40B4-BE49-F238E27FC236}">
                        <a16:creationId xmlns:a16="http://schemas.microsoft.com/office/drawing/2014/main" id="{00000000-0008-0000-0800-000005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18" name="CuadroTexto 517">
                    <a:extLst>
                      <a:ext uri="{FF2B5EF4-FFF2-40B4-BE49-F238E27FC236}">
                        <a16:creationId xmlns:a16="http://schemas.microsoft.com/office/drawing/2014/main" id="{00000000-0008-0000-0800-000006020000}"/>
                      </a:ext>
                    </a:extLst>
                  </xdr:cNvPr>
                  <xdr:cNvSpPr txBox="1"/>
                </xdr:nvSpPr>
                <xdr:spPr>
                  <a:xfrm>
                    <a:off x="2840009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T$25">
                <xdr:nvSpPr>
                  <xdr:cNvPr id="519" name="Rectángulo redondeado 518">
                    <a:extLst>
                      <a:ext uri="{FF2B5EF4-FFF2-40B4-BE49-F238E27FC236}">
                        <a16:creationId xmlns:a16="http://schemas.microsoft.com/office/drawing/2014/main" id="{00000000-0008-0000-0800-000007020000}"/>
                      </a:ext>
                    </a:extLst>
                  </xdr:cNvPr>
                  <xdr:cNvSpPr/>
                </xdr:nvSpPr>
                <xdr:spPr>
                  <a:xfrm>
                    <a:off x="29553530"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D09B62B-8EF6-46C8-B191-D836F2BE96B4}" type="TxLink">
                      <a:rPr lang="en-US" sz="1600" b="1" i="0" u="none" strike="noStrike">
                        <a:solidFill>
                          <a:srgbClr val="FFFF00"/>
                        </a:solidFill>
                        <a:latin typeface="Century Gothic"/>
                      </a:rPr>
                      <a:pPr algn="ctr"/>
                      <a:t>-</a:t>
                    </a:fld>
                    <a:endParaRPr lang="es-CO" sz="4800">
                      <a:solidFill>
                        <a:srgbClr val="FFFF00"/>
                      </a:solidFill>
                    </a:endParaRPr>
                  </a:p>
                </xdr:txBody>
              </xdr:sp>
            </xdr:grpSp>
            <xdr:grpSp>
              <xdr:nvGrpSpPr>
                <xdr:cNvPr id="513" name="Grupo 512">
                  <a:extLst>
                    <a:ext uri="{FF2B5EF4-FFF2-40B4-BE49-F238E27FC236}">
                      <a16:creationId xmlns:a16="http://schemas.microsoft.com/office/drawing/2014/main" id="{00000000-0008-0000-0800-000001020000}"/>
                    </a:ext>
                  </a:extLst>
                </xdr:cNvPr>
                <xdr:cNvGrpSpPr/>
              </xdr:nvGrpSpPr>
              <xdr:grpSpPr>
                <a:xfrm>
                  <a:off x="27609415" y="15334072"/>
                  <a:ext cx="826634" cy="289589"/>
                  <a:chOff x="21838689" y="15779592"/>
                  <a:chExt cx="825525" cy="284306"/>
                </a:xfrm>
              </xdr:grpSpPr>
              <xdr:sp macro="" textlink="">
                <xdr:nvSpPr>
                  <xdr:cNvPr id="514" name="CuadroTexto 513">
                    <a:extLst>
                      <a:ext uri="{FF2B5EF4-FFF2-40B4-BE49-F238E27FC236}">
                        <a16:creationId xmlns:a16="http://schemas.microsoft.com/office/drawing/2014/main" id="{00000000-0008-0000-0800-000002020000}"/>
                      </a:ext>
                    </a:extLst>
                  </xdr:cNvPr>
                  <xdr:cNvSpPr txBox="1"/>
                </xdr:nvSpPr>
                <xdr:spPr>
                  <a:xfrm>
                    <a:off x="21838689" y="1577959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5">
                <xdr:nvSpPr>
                  <xdr:cNvPr id="515" name="Rectángulo 514">
                    <a:extLst>
                      <a:ext uri="{FF2B5EF4-FFF2-40B4-BE49-F238E27FC236}">
                        <a16:creationId xmlns:a16="http://schemas.microsoft.com/office/drawing/2014/main" id="{00000000-0008-0000-0800-00000302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5D5C22F-28A6-496D-B4EF-9DE41592CA26}"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5">
                <xdr:nvSpPr>
                  <xdr:cNvPr id="516" name="Rectángulo 515">
                    <a:extLst>
                      <a:ext uri="{FF2B5EF4-FFF2-40B4-BE49-F238E27FC236}">
                        <a16:creationId xmlns:a16="http://schemas.microsoft.com/office/drawing/2014/main" id="{00000000-0008-0000-0800-00000402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D05458DC-9143-4C48-8550-A0098E3B41FF}" type="TxLink">
                      <a:rPr lang="en-US" sz="1100" b="1" i="0" u="none" strike="noStrike">
                        <a:solidFill>
                          <a:srgbClr val="FFFF00"/>
                        </a:solidFill>
                        <a:latin typeface="Century Gothic"/>
                      </a:rPr>
                      <a:pPr algn="ctr"/>
                      <a:t>0</a:t>
                    </a:fld>
                    <a:endParaRPr lang="es-CO" sz="1100" b="1">
                      <a:solidFill>
                        <a:srgbClr val="FFFF00"/>
                      </a:solidFill>
                    </a:endParaRPr>
                  </a:p>
                </xdr:txBody>
              </xdr:sp>
            </xdr:grpSp>
          </xdr:grpSp>
          <xdr:grpSp>
            <xdr:nvGrpSpPr>
              <xdr:cNvPr id="494" name="Grupo 493">
                <a:extLst>
                  <a:ext uri="{FF2B5EF4-FFF2-40B4-BE49-F238E27FC236}">
                    <a16:creationId xmlns:a16="http://schemas.microsoft.com/office/drawing/2014/main" id="{00000000-0008-0000-0800-0000EE010000}"/>
                  </a:ext>
                </a:extLst>
              </xdr:cNvPr>
              <xdr:cNvGrpSpPr/>
            </xdr:nvGrpSpPr>
            <xdr:grpSpPr>
              <a:xfrm>
                <a:off x="16379735" y="14838435"/>
                <a:ext cx="2161034" cy="726200"/>
                <a:chOff x="28340706" y="14925407"/>
                <a:chExt cx="2159963" cy="753182"/>
              </a:xfrm>
            </xdr:grpSpPr>
            <xdr:grpSp>
              <xdr:nvGrpSpPr>
                <xdr:cNvPr id="504" name="Grupo 503">
                  <a:extLst>
                    <a:ext uri="{FF2B5EF4-FFF2-40B4-BE49-F238E27FC236}">
                      <a16:creationId xmlns:a16="http://schemas.microsoft.com/office/drawing/2014/main" id="{00000000-0008-0000-0800-0000F8010000}"/>
                    </a:ext>
                  </a:extLst>
                </xdr:cNvPr>
                <xdr:cNvGrpSpPr/>
              </xdr:nvGrpSpPr>
              <xdr:grpSpPr>
                <a:xfrm>
                  <a:off x="28340706" y="14925407"/>
                  <a:ext cx="2159963" cy="753182"/>
                  <a:chOff x="28351843" y="12458683"/>
                  <a:chExt cx="2160000" cy="726638"/>
                </a:xfrm>
              </xdr:grpSpPr>
              <xdr:sp macro="" textlink="">
                <xdr:nvSpPr>
                  <xdr:cNvPr id="509" name="Cheurón 508">
                    <a:extLst>
                      <a:ext uri="{FF2B5EF4-FFF2-40B4-BE49-F238E27FC236}">
                        <a16:creationId xmlns:a16="http://schemas.microsoft.com/office/drawing/2014/main" id="{00000000-0008-0000-0800-0000FD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10" name="CuadroTexto 509">
                    <a:extLst>
                      <a:ext uri="{FF2B5EF4-FFF2-40B4-BE49-F238E27FC236}">
                        <a16:creationId xmlns:a16="http://schemas.microsoft.com/office/drawing/2014/main" id="{00000000-0008-0000-0800-0000FE010000}"/>
                      </a:ext>
                    </a:extLst>
                  </xdr:cNvPr>
                  <xdr:cNvSpPr txBox="1"/>
                </xdr:nvSpPr>
                <xdr:spPr>
                  <a:xfrm>
                    <a:off x="2842117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T$26">
                <xdr:nvSpPr>
                  <xdr:cNvPr id="511" name="Rectángulo redondeado 510">
                    <a:extLst>
                      <a:ext uri="{FF2B5EF4-FFF2-40B4-BE49-F238E27FC236}">
                        <a16:creationId xmlns:a16="http://schemas.microsoft.com/office/drawing/2014/main" id="{00000000-0008-0000-0800-0000FF010000}"/>
                      </a:ext>
                    </a:extLst>
                  </xdr:cNvPr>
                  <xdr:cNvSpPr/>
                </xdr:nvSpPr>
                <xdr:spPr>
                  <a:xfrm>
                    <a:off x="29539922" y="1256542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4D7F0D4-E60E-4C48-AC44-54CDA71F0EE6}" type="TxLink">
                      <a:rPr lang="en-US" sz="1600" b="1" i="0" u="none" strike="noStrike">
                        <a:solidFill>
                          <a:srgbClr val="FFFF00"/>
                        </a:solidFill>
                        <a:latin typeface="Century Gothic"/>
                      </a:rPr>
                      <a:pPr algn="ctr"/>
                      <a:t>21,7%</a:t>
                    </a:fld>
                    <a:endParaRPr lang="es-CO" sz="6000">
                      <a:solidFill>
                        <a:srgbClr val="FFFF00"/>
                      </a:solidFill>
                    </a:endParaRPr>
                  </a:p>
                </xdr:txBody>
              </xdr:sp>
            </xdr:grpSp>
            <xdr:grpSp>
              <xdr:nvGrpSpPr>
                <xdr:cNvPr id="505" name="Grupo 504">
                  <a:extLst>
                    <a:ext uri="{FF2B5EF4-FFF2-40B4-BE49-F238E27FC236}">
                      <a16:creationId xmlns:a16="http://schemas.microsoft.com/office/drawing/2014/main" id="{00000000-0008-0000-0800-0000F9010000}"/>
                    </a:ext>
                  </a:extLst>
                </xdr:cNvPr>
                <xdr:cNvGrpSpPr/>
              </xdr:nvGrpSpPr>
              <xdr:grpSpPr>
                <a:xfrm>
                  <a:off x="29592724" y="15346919"/>
                  <a:ext cx="826634" cy="280980"/>
                  <a:chOff x="21838689" y="15788044"/>
                  <a:chExt cx="825525" cy="275854"/>
                </a:xfrm>
              </xdr:grpSpPr>
              <xdr:sp macro="" textlink="">
                <xdr:nvSpPr>
                  <xdr:cNvPr id="506" name="CuadroTexto 505">
                    <a:extLst>
                      <a:ext uri="{FF2B5EF4-FFF2-40B4-BE49-F238E27FC236}">
                        <a16:creationId xmlns:a16="http://schemas.microsoft.com/office/drawing/2014/main" id="{00000000-0008-0000-0800-0000FA010000}"/>
                      </a:ext>
                    </a:extLst>
                  </xdr:cNvPr>
                  <xdr:cNvSpPr txBox="1"/>
                </xdr:nvSpPr>
                <xdr:spPr>
                  <a:xfrm>
                    <a:off x="21838689" y="1578997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6">
                <xdr:nvSpPr>
                  <xdr:cNvPr id="507" name="Rectángulo 506">
                    <a:extLst>
                      <a:ext uri="{FF2B5EF4-FFF2-40B4-BE49-F238E27FC236}">
                        <a16:creationId xmlns:a16="http://schemas.microsoft.com/office/drawing/2014/main" id="{00000000-0008-0000-0800-0000FB01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9BDD05E-AB19-4DBA-9CBB-D578AD9F02EB}" type="TxLink">
                      <a:rPr lang="en-US" sz="1100" b="1" i="0" u="none" strike="noStrike">
                        <a:solidFill>
                          <a:srgbClr val="FFFF00"/>
                        </a:solidFill>
                        <a:latin typeface="Century Gothic"/>
                      </a:rPr>
                      <a:pPr algn="ctr"/>
                      <a:t>5</a:t>
                    </a:fld>
                    <a:endParaRPr lang="es-CO" sz="1100" b="1">
                      <a:solidFill>
                        <a:srgbClr val="FFFF00"/>
                      </a:solidFill>
                    </a:endParaRPr>
                  </a:p>
                </xdr:txBody>
              </xdr:sp>
              <xdr:sp macro="" textlink="$M$26">
                <xdr:nvSpPr>
                  <xdr:cNvPr id="508" name="Rectángulo 507">
                    <a:extLst>
                      <a:ext uri="{FF2B5EF4-FFF2-40B4-BE49-F238E27FC236}">
                        <a16:creationId xmlns:a16="http://schemas.microsoft.com/office/drawing/2014/main" id="{00000000-0008-0000-0800-0000FC01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83FE293-E4BC-4AC4-A546-D4B000482F4A}" type="TxLink">
                      <a:rPr lang="en-US" sz="1100" b="1" i="0" u="none" strike="noStrike">
                        <a:solidFill>
                          <a:srgbClr val="FFFF00"/>
                        </a:solidFill>
                        <a:latin typeface="Century Gothic"/>
                      </a:rPr>
                      <a:pPr algn="ctr"/>
                      <a:t>23</a:t>
                    </a:fld>
                    <a:endParaRPr lang="es-CO" sz="1100" b="1">
                      <a:solidFill>
                        <a:srgbClr val="FFFF00"/>
                      </a:solidFill>
                    </a:endParaRPr>
                  </a:p>
                </xdr:txBody>
              </xdr:sp>
            </xdr:grpSp>
          </xdr:grpSp>
          <xdr:grpSp>
            <xdr:nvGrpSpPr>
              <xdr:cNvPr id="495" name="Grupo 494">
                <a:extLst>
                  <a:ext uri="{FF2B5EF4-FFF2-40B4-BE49-F238E27FC236}">
                    <a16:creationId xmlns:a16="http://schemas.microsoft.com/office/drawing/2014/main" id="{00000000-0008-0000-0800-0000EF010000}"/>
                  </a:ext>
                </a:extLst>
              </xdr:cNvPr>
              <xdr:cNvGrpSpPr/>
            </xdr:nvGrpSpPr>
            <xdr:grpSpPr>
              <a:xfrm>
                <a:off x="18342816" y="14841155"/>
                <a:ext cx="2161034" cy="726200"/>
                <a:chOff x="30302815" y="14928228"/>
                <a:chExt cx="2159963" cy="753182"/>
              </a:xfrm>
            </xdr:grpSpPr>
            <xdr:grpSp>
              <xdr:nvGrpSpPr>
                <xdr:cNvPr id="496" name="Grupo 495">
                  <a:extLst>
                    <a:ext uri="{FF2B5EF4-FFF2-40B4-BE49-F238E27FC236}">
                      <a16:creationId xmlns:a16="http://schemas.microsoft.com/office/drawing/2014/main" id="{00000000-0008-0000-0800-0000F0010000}"/>
                    </a:ext>
                  </a:extLst>
                </xdr:cNvPr>
                <xdr:cNvGrpSpPr/>
              </xdr:nvGrpSpPr>
              <xdr:grpSpPr>
                <a:xfrm>
                  <a:off x="30302815" y="14928228"/>
                  <a:ext cx="2159963" cy="753182"/>
                  <a:chOff x="28351843" y="12458683"/>
                  <a:chExt cx="2160000" cy="726638"/>
                </a:xfrm>
              </xdr:grpSpPr>
              <xdr:sp macro="" textlink="">
                <xdr:nvSpPr>
                  <xdr:cNvPr id="501" name="Cheurón 500">
                    <a:extLst>
                      <a:ext uri="{FF2B5EF4-FFF2-40B4-BE49-F238E27FC236}">
                        <a16:creationId xmlns:a16="http://schemas.microsoft.com/office/drawing/2014/main" id="{00000000-0008-0000-0800-0000F5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02" name="CuadroTexto 501">
                    <a:extLst>
                      <a:ext uri="{FF2B5EF4-FFF2-40B4-BE49-F238E27FC236}">
                        <a16:creationId xmlns:a16="http://schemas.microsoft.com/office/drawing/2014/main" id="{00000000-0008-0000-0800-0000F6010000}"/>
                      </a:ext>
                    </a:extLst>
                  </xdr:cNvPr>
                  <xdr:cNvSpPr txBox="1"/>
                </xdr:nvSpPr>
                <xdr:spPr>
                  <a:xfrm>
                    <a:off x="28393960"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T$27">
                <xdr:nvSpPr>
                  <xdr:cNvPr id="503" name="Rectángulo redondeado 502">
                    <a:extLst>
                      <a:ext uri="{FF2B5EF4-FFF2-40B4-BE49-F238E27FC236}">
                        <a16:creationId xmlns:a16="http://schemas.microsoft.com/office/drawing/2014/main" id="{00000000-0008-0000-0800-0000F7010000}"/>
                      </a:ext>
                    </a:extLst>
                  </xdr:cNvPr>
                  <xdr:cNvSpPr/>
                </xdr:nvSpPr>
                <xdr:spPr>
                  <a:xfrm>
                    <a:off x="29557264" y="1255351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1D5E610-4F66-48DF-B138-4A4B586539B0}" type="TxLink">
                      <a:rPr lang="en-US" sz="1600" b="1" i="0" u="none" strike="noStrike">
                        <a:solidFill>
                          <a:srgbClr val="FFFF00"/>
                        </a:solidFill>
                        <a:latin typeface="Century Gothic"/>
                      </a:rPr>
                      <a:pPr algn="ctr"/>
                      <a:t>-</a:t>
                    </a:fld>
                    <a:endParaRPr lang="es-CO" sz="7200">
                      <a:solidFill>
                        <a:srgbClr val="FFFF00"/>
                      </a:solidFill>
                    </a:endParaRPr>
                  </a:p>
                </xdr:txBody>
              </xdr:sp>
            </xdr:grpSp>
            <xdr:grpSp>
              <xdr:nvGrpSpPr>
                <xdr:cNvPr id="497" name="Grupo 496">
                  <a:extLst>
                    <a:ext uri="{FF2B5EF4-FFF2-40B4-BE49-F238E27FC236}">
                      <a16:creationId xmlns:a16="http://schemas.microsoft.com/office/drawing/2014/main" id="{00000000-0008-0000-0800-0000F1010000}"/>
                    </a:ext>
                  </a:extLst>
                </xdr:cNvPr>
                <xdr:cNvGrpSpPr/>
              </xdr:nvGrpSpPr>
              <xdr:grpSpPr>
                <a:xfrm>
                  <a:off x="31523122" y="15351156"/>
                  <a:ext cx="826634" cy="280980"/>
                  <a:chOff x="21838689" y="15788044"/>
                  <a:chExt cx="825525" cy="275854"/>
                </a:xfrm>
              </xdr:grpSpPr>
              <xdr:sp macro="" textlink="">
                <xdr:nvSpPr>
                  <xdr:cNvPr id="498" name="CuadroTexto 497">
                    <a:extLst>
                      <a:ext uri="{FF2B5EF4-FFF2-40B4-BE49-F238E27FC236}">
                        <a16:creationId xmlns:a16="http://schemas.microsoft.com/office/drawing/2014/main" id="{00000000-0008-0000-0800-0000F2010000}"/>
                      </a:ext>
                    </a:extLst>
                  </xdr:cNvPr>
                  <xdr:cNvSpPr txBox="1"/>
                </xdr:nvSpPr>
                <xdr:spPr>
                  <a:xfrm>
                    <a:off x="21838689" y="15789976"/>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7">
                <xdr:nvSpPr>
                  <xdr:cNvPr id="499" name="Rectángulo 498">
                    <a:extLst>
                      <a:ext uri="{FF2B5EF4-FFF2-40B4-BE49-F238E27FC236}">
                        <a16:creationId xmlns:a16="http://schemas.microsoft.com/office/drawing/2014/main" id="{00000000-0008-0000-0800-0000F301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DB9EAD1-39AB-47FF-A707-E41E7FC7DE05}"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M$27">
                <xdr:nvSpPr>
                  <xdr:cNvPr id="500" name="Rectángulo 499">
                    <a:extLst>
                      <a:ext uri="{FF2B5EF4-FFF2-40B4-BE49-F238E27FC236}">
                        <a16:creationId xmlns:a16="http://schemas.microsoft.com/office/drawing/2014/main" id="{00000000-0008-0000-0800-0000F401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64E8648E-E6F4-429A-9F26-355CAE118482}" type="TxLink">
                      <a:rPr lang="en-US" sz="1100" b="1" i="0" u="none" strike="noStrike">
                        <a:solidFill>
                          <a:srgbClr val="FFFF00"/>
                        </a:solidFill>
                        <a:latin typeface="Century Gothic"/>
                      </a:rPr>
                      <a:pPr algn="ctr"/>
                      <a:t>-</a:t>
                    </a:fld>
                    <a:endParaRPr lang="es-CO" sz="1100" b="1">
                      <a:solidFill>
                        <a:srgbClr val="FFFF00"/>
                      </a:solidFill>
                    </a:endParaRPr>
                  </a:p>
                </xdr:txBody>
              </xdr:sp>
            </xdr:grpSp>
          </xdr:grpSp>
        </xdr:grpSp>
      </xdr:grp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176891</xdr:colOff>
      <xdr:row>34</xdr:row>
      <xdr:rowOff>40821</xdr:rowOff>
    </xdr:from>
    <xdr:to>
      <xdr:col>11</xdr:col>
      <xdr:colOff>1053985</xdr:colOff>
      <xdr:row>72</xdr:row>
      <xdr:rowOff>13603</xdr:rowOff>
    </xdr:to>
    <xdr:grpSp>
      <xdr:nvGrpSpPr>
        <xdr:cNvPr id="2" name="Grupo 1">
          <a:extLst>
            <a:ext uri="{FF2B5EF4-FFF2-40B4-BE49-F238E27FC236}">
              <a16:creationId xmlns:a16="http://schemas.microsoft.com/office/drawing/2014/main" id="{00000000-0008-0000-0900-000002000000}"/>
            </a:ext>
          </a:extLst>
        </xdr:cNvPr>
        <xdr:cNvGrpSpPr/>
      </xdr:nvGrpSpPr>
      <xdr:grpSpPr>
        <a:xfrm>
          <a:off x="244927" y="9565821"/>
          <a:ext cx="11014415" cy="7728853"/>
          <a:chOff x="246155" y="10586356"/>
          <a:chExt cx="11011951" cy="7869872"/>
        </a:xfrm>
      </xdr:grpSpPr>
      <xdr:grpSp>
        <xdr:nvGrpSpPr>
          <xdr:cNvPr id="3" name="Grupo 2">
            <a:extLst>
              <a:ext uri="{FF2B5EF4-FFF2-40B4-BE49-F238E27FC236}">
                <a16:creationId xmlns:a16="http://schemas.microsoft.com/office/drawing/2014/main" id="{00000000-0008-0000-0900-000003000000}"/>
              </a:ext>
            </a:extLst>
          </xdr:cNvPr>
          <xdr:cNvGrpSpPr/>
        </xdr:nvGrpSpPr>
        <xdr:grpSpPr>
          <a:xfrm>
            <a:off x="246155" y="10586356"/>
            <a:ext cx="10967626" cy="849959"/>
            <a:chOff x="244927" y="10477499"/>
            <a:chExt cx="10970079" cy="834728"/>
          </a:xfrm>
        </xdr:grpSpPr>
        <xdr:sp macro="" textlink="">
          <xdr:nvSpPr>
            <xdr:cNvPr id="233" name="Rectángulo 232">
              <a:extLst>
                <a:ext uri="{FF2B5EF4-FFF2-40B4-BE49-F238E27FC236}">
                  <a16:creationId xmlns:a16="http://schemas.microsoft.com/office/drawing/2014/main" id="{00000000-0008-0000-0900-0000E9000000}"/>
                </a:ext>
              </a:extLst>
            </xdr:cNvPr>
            <xdr:cNvSpPr/>
          </xdr:nvSpPr>
          <xdr:spPr>
            <a:xfrm>
              <a:off x="244927" y="10477499"/>
              <a:ext cx="10011600" cy="828000"/>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latin typeface="Century Gothic" panose="020B0502020202020204" pitchFamily="34" charset="0"/>
                </a:rPr>
                <a:t>PROPORCION DE AUDITORÍAS CON ENFOQUE EN RIESGOS CON PLAN DE MEJORA,</a:t>
              </a:r>
              <a:r>
                <a:rPr lang="es-CO" sz="1400" b="1" baseline="0">
                  <a:solidFill>
                    <a:schemeClr val="tx1"/>
                  </a:solidFill>
                  <a:latin typeface="Century Gothic" panose="020B0502020202020204" pitchFamily="34" charset="0"/>
                </a:rPr>
                <a:t> </a:t>
              </a:r>
            </a:p>
            <a:p>
              <a:pPr algn="ctr"/>
              <a:r>
                <a:rPr lang="es-CO" sz="1400" b="1">
                  <a:solidFill>
                    <a:schemeClr val="tx1"/>
                  </a:solidFill>
                  <a:latin typeface="Century Gothic" panose="020B0502020202020204" pitchFamily="34" charset="0"/>
                </a:rPr>
                <a:t>ESE METROSALUD, 2019 - 2023</a:t>
              </a:r>
            </a:p>
          </xdr:txBody>
        </xdr:sp>
        <xdr:grpSp>
          <xdr:nvGrpSpPr>
            <xdr:cNvPr id="234" name="Grupo 233">
              <a:extLst>
                <a:ext uri="{FF2B5EF4-FFF2-40B4-BE49-F238E27FC236}">
                  <a16:creationId xmlns:a16="http://schemas.microsoft.com/office/drawing/2014/main" id="{00000000-0008-0000-0900-0000EA000000}"/>
                </a:ext>
              </a:extLst>
            </xdr:cNvPr>
            <xdr:cNvGrpSpPr/>
          </xdr:nvGrpSpPr>
          <xdr:grpSpPr>
            <a:xfrm>
              <a:off x="10300606" y="10477499"/>
              <a:ext cx="914400" cy="834728"/>
              <a:chOff x="10300606" y="10477499"/>
              <a:chExt cx="914400" cy="834728"/>
            </a:xfrm>
          </xdr:grpSpPr>
          <xdr:sp macro="" textlink="$S$32">
            <xdr:nvSpPr>
              <xdr:cNvPr id="235" name="Rectángulo 234">
                <a:extLst>
                  <a:ext uri="{FF2B5EF4-FFF2-40B4-BE49-F238E27FC236}">
                    <a16:creationId xmlns:a16="http://schemas.microsoft.com/office/drawing/2014/main" id="{00000000-0008-0000-0900-0000EB000000}"/>
                  </a:ext>
                </a:extLst>
              </xdr:cNvPr>
              <xdr:cNvSpPr/>
            </xdr:nvSpPr>
            <xdr:spPr>
              <a:xfrm>
                <a:off x="10300606" y="10477499"/>
                <a:ext cx="914400" cy="828000"/>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6ADC6A4-37EC-4CAC-A7BC-2B14B3A1D8A8}" type="TxLink">
                  <a:rPr lang="en-US" sz="1800" b="1" i="0" u="none" strike="noStrike">
                    <a:solidFill>
                      <a:schemeClr val="tx1">
                        <a:lumMod val="95000"/>
                        <a:lumOff val="5000"/>
                      </a:schemeClr>
                    </a:solidFill>
                    <a:latin typeface="Century Gothic"/>
                  </a:rPr>
                  <a:pPr algn="ctr"/>
                  <a:t>45,8%</a:t>
                </a:fld>
                <a:endParaRPr lang="es-CO" sz="3200">
                  <a:solidFill>
                    <a:schemeClr val="tx1">
                      <a:lumMod val="95000"/>
                      <a:lumOff val="5000"/>
                    </a:schemeClr>
                  </a:solidFill>
                </a:endParaRPr>
              </a:p>
            </xdr:txBody>
          </xdr:sp>
          <xdr:grpSp>
            <xdr:nvGrpSpPr>
              <xdr:cNvPr id="236" name="Grupo 235">
                <a:extLst>
                  <a:ext uri="{FF2B5EF4-FFF2-40B4-BE49-F238E27FC236}">
                    <a16:creationId xmlns:a16="http://schemas.microsoft.com/office/drawing/2014/main" id="{00000000-0008-0000-0900-0000EC000000}"/>
                  </a:ext>
                </a:extLst>
              </xdr:cNvPr>
              <xdr:cNvGrpSpPr/>
            </xdr:nvGrpSpPr>
            <xdr:grpSpPr>
              <a:xfrm>
                <a:off x="10366809" y="11031871"/>
                <a:ext cx="770852" cy="280356"/>
                <a:chOff x="10380416" y="11031871"/>
                <a:chExt cx="770852" cy="280356"/>
              </a:xfrm>
            </xdr:grpSpPr>
            <xdr:sp macro="" textlink="$K$32">
              <xdr:nvSpPr>
                <xdr:cNvPr id="237" name="Rectángulo 236">
                  <a:extLst>
                    <a:ext uri="{FF2B5EF4-FFF2-40B4-BE49-F238E27FC236}">
                      <a16:creationId xmlns:a16="http://schemas.microsoft.com/office/drawing/2014/main" id="{00000000-0008-0000-0900-0000ED000000}"/>
                    </a:ext>
                  </a:extLst>
                </xdr:cNvPr>
                <xdr:cNvSpPr/>
              </xdr:nvSpPr>
              <xdr:spPr>
                <a:xfrm>
                  <a:off x="10408548"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3CD5905-36B8-4149-9E82-A286585D49F8}" type="TxLink">
                    <a:rPr lang="en-US" sz="1100" b="1" i="0" u="none" strike="noStrike">
                      <a:solidFill>
                        <a:schemeClr val="tx1">
                          <a:lumMod val="95000"/>
                          <a:lumOff val="5000"/>
                        </a:schemeClr>
                      </a:solidFill>
                      <a:latin typeface="Century Gothic"/>
                    </a:rPr>
                    <a:pPr algn="ctr"/>
                    <a:t>38</a:t>
                  </a:fld>
                  <a:endParaRPr lang="es-CO" sz="1100">
                    <a:solidFill>
                      <a:schemeClr val="tx1">
                        <a:lumMod val="95000"/>
                        <a:lumOff val="5000"/>
                      </a:schemeClr>
                    </a:solidFill>
                  </a:endParaRPr>
                </a:p>
              </xdr:txBody>
            </xdr:sp>
            <xdr:sp macro="" textlink="">
              <xdr:nvSpPr>
                <xdr:cNvPr id="238" name="CuadroTexto 237">
                  <a:extLst>
                    <a:ext uri="{FF2B5EF4-FFF2-40B4-BE49-F238E27FC236}">
                      <a16:creationId xmlns:a16="http://schemas.microsoft.com/office/drawing/2014/main" id="{00000000-0008-0000-0900-0000EE000000}"/>
                    </a:ext>
                  </a:extLst>
                </xdr:cNvPr>
                <xdr:cNvSpPr txBox="1"/>
              </xdr:nvSpPr>
              <xdr:spPr>
                <a:xfrm>
                  <a:off x="10380416" y="1103187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latin typeface="Century Gothic" panose="020B0502020202020204" pitchFamily="34" charset="0"/>
                    </a:rPr>
                    <a:t>(</a:t>
                  </a:r>
                  <a:r>
                    <a:rPr lang="es-CO" sz="1100" baseline="0">
                      <a:latin typeface="Century Gothic" panose="020B0502020202020204" pitchFamily="34" charset="0"/>
                    </a:rPr>
                    <a:t>      /      </a:t>
                  </a:r>
                  <a:r>
                    <a:rPr lang="es-CO" sz="1100">
                      <a:latin typeface="Century Gothic" panose="020B0502020202020204" pitchFamily="34" charset="0"/>
                    </a:rPr>
                    <a:t>)</a:t>
                  </a:r>
                </a:p>
              </xdr:txBody>
            </xdr:sp>
            <xdr:sp macro="" textlink="$J$32">
              <xdr:nvSpPr>
                <xdr:cNvPr id="239" name="Rectángulo 238">
                  <a:extLst>
                    <a:ext uri="{FF2B5EF4-FFF2-40B4-BE49-F238E27FC236}">
                      <a16:creationId xmlns:a16="http://schemas.microsoft.com/office/drawing/2014/main" id="{00000000-0008-0000-0900-0000EF000000}"/>
                    </a:ext>
                  </a:extLst>
                </xdr:cNvPr>
                <xdr:cNvSpPr/>
              </xdr:nvSpPr>
              <xdr:spPr>
                <a:xfrm>
                  <a:off x="10697935"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C9C6B0-CB03-49F6-9FE9-A14FD43C86A1}" type="TxLink">
                    <a:rPr lang="en-US" sz="1100" b="1" i="0" u="none" strike="noStrike">
                      <a:solidFill>
                        <a:srgbClr val="000000"/>
                      </a:solidFill>
                      <a:latin typeface="Century Gothic"/>
                    </a:rPr>
                    <a:pPr algn="ctr"/>
                    <a:t>83</a:t>
                  </a:fld>
                  <a:endParaRPr lang="es-CO" sz="1100">
                    <a:solidFill>
                      <a:schemeClr val="tx1">
                        <a:lumMod val="95000"/>
                        <a:lumOff val="5000"/>
                      </a:schemeClr>
                    </a:solidFill>
                  </a:endParaRPr>
                </a:p>
              </xdr:txBody>
            </xdr:sp>
          </xdr:grpSp>
        </xdr:grpSp>
      </xdr:grpSp>
      <xdr:grpSp>
        <xdr:nvGrpSpPr>
          <xdr:cNvPr id="4" name="Grupo 3">
            <a:extLst>
              <a:ext uri="{FF2B5EF4-FFF2-40B4-BE49-F238E27FC236}">
                <a16:creationId xmlns:a16="http://schemas.microsoft.com/office/drawing/2014/main" id="{00000000-0008-0000-0900-000004000000}"/>
              </a:ext>
            </a:extLst>
          </xdr:cNvPr>
          <xdr:cNvGrpSpPr/>
        </xdr:nvGrpSpPr>
        <xdr:grpSpPr>
          <a:xfrm>
            <a:off x="273364" y="11542374"/>
            <a:ext cx="10984742" cy="6913854"/>
            <a:chOff x="273364" y="11542374"/>
            <a:chExt cx="10984742" cy="6913854"/>
          </a:xfrm>
        </xdr:grpSpPr>
        <xdr:sp macro="" textlink="">
          <xdr:nvSpPr>
            <xdr:cNvPr id="5" name="Rectángulo redondeado 4">
              <a:extLst>
                <a:ext uri="{FF2B5EF4-FFF2-40B4-BE49-F238E27FC236}">
                  <a16:creationId xmlns:a16="http://schemas.microsoft.com/office/drawing/2014/main" id="{00000000-0008-0000-0900-000005000000}"/>
                </a:ext>
              </a:extLst>
            </xdr:cNvPr>
            <xdr:cNvSpPr/>
          </xdr:nvSpPr>
          <xdr:spPr>
            <a:xfrm>
              <a:off x="273364" y="11542374"/>
              <a:ext cx="10984742" cy="6913854"/>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 name="Grupo 5">
              <a:extLst>
                <a:ext uri="{FF2B5EF4-FFF2-40B4-BE49-F238E27FC236}">
                  <a16:creationId xmlns:a16="http://schemas.microsoft.com/office/drawing/2014/main" id="{00000000-0008-0000-0900-000006000000}"/>
                </a:ext>
              </a:extLst>
            </xdr:cNvPr>
            <xdr:cNvGrpSpPr/>
          </xdr:nvGrpSpPr>
          <xdr:grpSpPr>
            <a:xfrm>
              <a:off x="376735" y="11556241"/>
              <a:ext cx="10849832" cy="6841041"/>
              <a:chOff x="376735" y="11556241"/>
              <a:chExt cx="10849832" cy="6841041"/>
            </a:xfrm>
          </xdr:grpSpPr>
          <xdr:grpSp>
            <xdr:nvGrpSpPr>
              <xdr:cNvPr id="7" name="Grupo 6">
                <a:extLst>
                  <a:ext uri="{FF2B5EF4-FFF2-40B4-BE49-F238E27FC236}">
                    <a16:creationId xmlns:a16="http://schemas.microsoft.com/office/drawing/2014/main" id="{00000000-0008-0000-0900-000007000000}"/>
                  </a:ext>
                </a:extLst>
              </xdr:cNvPr>
              <xdr:cNvGrpSpPr/>
            </xdr:nvGrpSpPr>
            <xdr:grpSpPr>
              <a:xfrm>
                <a:off x="384917" y="11556241"/>
                <a:ext cx="10719120" cy="1639731"/>
                <a:chOff x="383720" y="11430000"/>
                <a:chExt cx="10721518" cy="1610348"/>
              </a:xfrm>
            </xdr:grpSpPr>
            <xdr:grpSp>
              <xdr:nvGrpSpPr>
                <xdr:cNvPr id="193" name="Grupo 192">
                  <a:extLst>
                    <a:ext uri="{FF2B5EF4-FFF2-40B4-BE49-F238E27FC236}">
                      <a16:creationId xmlns:a16="http://schemas.microsoft.com/office/drawing/2014/main" id="{00000000-0008-0000-0900-0000C1000000}"/>
                    </a:ext>
                  </a:extLst>
                </xdr:cNvPr>
                <xdr:cNvGrpSpPr/>
              </xdr:nvGrpSpPr>
              <xdr:grpSpPr>
                <a:xfrm>
                  <a:off x="383720" y="11430000"/>
                  <a:ext cx="720000" cy="1610348"/>
                  <a:chOff x="27391177" y="8324853"/>
                  <a:chExt cx="720000" cy="1610348"/>
                </a:xfrm>
              </xdr:grpSpPr>
              <xdr:sp macro="" textlink="">
                <xdr:nvSpPr>
                  <xdr:cNvPr id="231" name="Rectángulo 230">
                    <a:extLst>
                      <a:ext uri="{FF2B5EF4-FFF2-40B4-BE49-F238E27FC236}">
                        <a16:creationId xmlns:a16="http://schemas.microsoft.com/office/drawing/2014/main" id="{00000000-0008-0000-0900-0000E7000000}"/>
                      </a:ext>
                    </a:extLst>
                  </xdr:cNvPr>
                  <xdr:cNvSpPr/>
                </xdr:nvSpPr>
                <xdr:spPr>
                  <a:xfrm>
                    <a:off x="27391177" y="8450034"/>
                    <a:ext cx="720000"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32" name="CuadroTexto 231">
                    <a:extLst>
                      <a:ext uri="{FF2B5EF4-FFF2-40B4-BE49-F238E27FC236}">
                        <a16:creationId xmlns:a16="http://schemas.microsoft.com/office/drawing/2014/main" id="{00000000-0008-0000-0900-0000E8000000}"/>
                      </a:ext>
                    </a:extLst>
                  </xdr:cNvPr>
                  <xdr:cNvSpPr txBox="1"/>
                </xdr:nvSpPr>
                <xdr:spPr>
                  <a:xfrm rot="16200000">
                    <a:off x="26944324"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sp macro="" textlink="">
              <xdr:nvSpPr>
                <xdr:cNvPr id="194" name="Flecha abajo 193">
                  <a:extLst>
                    <a:ext uri="{FF2B5EF4-FFF2-40B4-BE49-F238E27FC236}">
                      <a16:creationId xmlns:a16="http://schemas.microsoft.com/office/drawing/2014/main" id="{00000000-0008-0000-0900-0000C2000000}"/>
                    </a:ext>
                  </a:extLst>
                </xdr:cNvPr>
                <xdr:cNvSpPr/>
              </xdr:nvSpPr>
              <xdr:spPr>
                <a:xfrm>
                  <a:off x="5788521" y="12722678"/>
                  <a:ext cx="468000" cy="288000"/>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95" name="Grupo 194">
                  <a:extLst>
                    <a:ext uri="{FF2B5EF4-FFF2-40B4-BE49-F238E27FC236}">
                      <a16:creationId xmlns:a16="http://schemas.microsoft.com/office/drawing/2014/main" id="{00000000-0008-0000-0900-0000C3000000}"/>
                    </a:ext>
                  </a:extLst>
                </xdr:cNvPr>
                <xdr:cNvGrpSpPr/>
              </xdr:nvGrpSpPr>
              <xdr:grpSpPr>
                <a:xfrm>
                  <a:off x="1202890" y="11911678"/>
                  <a:ext cx="2672123" cy="720001"/>
                  <a:chOff x="1202890" y="11911678"/>
                  <a:chExt cx="2672123" cy="720001"/>
                </a:xfrm>
              </xdr:grpSpPr>
              <xdr:grpSp>
                <xdr:nvGrpSpPr>
                  <xdr:cNvPr id="223" name="Grupo 222">
                    <a:extLst>
                      <a:ext uri="{FF2B5EF4-FFF2-40B4-BE49-F238E27FC236}">
                        <a16:creationId xmlns:a16="http://schemas.microsoft.com/office/drawing/2014/main" id="{00000000-0008-0000-0900-0000DF000000}"/>
                      </a:ext>
                    </a:extLst>
                  </xdr:cNvPr>
                  <xdr:cNvGrpSpPr/>
                </xdr:nvGrpSpPr>
                <xdr:grpSpPr>
                  <a:xfrm>
                    <a:off x="1202890" y="11911678"/>
                    <a:ext cx="2672123" cy="720001"/>
                    <a:chOff x="28670227" y="2081891"/>
                    <a:chExt cx="2474494" cy="585107"/>
                  </a:xfrm>
                </xdr:grpSpPr>
                <xdr:sp macro="" textlink="">
                  <xdr:nvSpPr>
                    <xdr:cNvPr id="228" name="Cheurón 227">
                      <a:extLst>
                        <a:ext uri="{FF2B5EF4-FFF2-40B4-BE49-F238E27FC236}">
                          <a16:creationId xmlns:a16="http://schemas.microsoft.com/office/drawing/2014/main" id="{00000000-0008-0000-0900-0000E4000000}"/>
                        </a:ext>
                      </a:extLst>
                    </xdr:cNvPr>
                    <xdr:cNvSpPr/>
                  </xdr:nvSpPr>
                  <xdr:spPr>
                    <a:xfrm>
                      <a:off x="28670227" y="2081891"/>
                      <a:ext cx="2433635"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29" name="CuadroTexto 228">
                      <a:extLst>
                        <a:ext uri="{FF2B5EF4-FFF2-40B4-BE49-F238E27FC236}">
                          <a16:creationId xmlns:a16="http://schemas.microsoft.com/office/drawing/2014/main" id="{00000000-0008-0000-0900-0000E5000000}"/>
                        </a:ext>
                      </a:extLst>
                    </xdr:cNvPr>
                    <xdr:cNvSpPr txBox="1"/>
                  </xdr:nvSpPr>
                  <xdr:spPr>
                    <a:xfrm>
                      <a:off x="28854757" y="2207661"/>
                      <a:ext cx="1586874"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sp macro="" textlink="$S$6">
                  <xdr:nvSpPr>
                    <xdr:cNvPr id="230" name="Rectángulo redondeado 229">
                      <a:extLst>
                        <a:ext uri="{FF2B5EF4-FFF2-40B4-BE49-F238E27FC236}">
                          <a16:creationId xmlns:a16="http://schemas.microsoft.com/office/drawing/2014/main" id="{00000000-0008-0000-0900-0000E6000000}"/>
                        </a:ext>
                      </a:extLst>
                    </xdr:cNvPr>
                    <xdr:cNvSpPr/>
                  </xdr:nvSpPr>
                  <xdr:spPr>
                    <a:xfrm>
                      <a:off x="30277946"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502EA5-E4AF-4CB0-A60E-29CE20AA7570}" type="TxLink">
                        <a:rPr lang="en-US" sz="1600" b="1" i="0" u="none" strike="noStrike">
                          <a:solidFill>
                            <a:srgbClr val="FFFF00"/>
                          </a:solidFill>
                          <a:latin typeface="Century Gothic"/>
                        </a:rPr>
                        <a:pPr algn="ctr"/>
                        <a:t>100,0%</a:t>
                      </a:fld>
                      <a:endParaRPr lang="es-CO" sz="1600">
                        <a:solidFill>
                          <a:srgbClr val="FFFF00"/>
                        </a:solidFill>
                      </a:endParaRPr>
                    </a:p>
                  </xdr:txBody>
                </xdr:sp>
              </xdr:grpSp>
              <xdr:grpSp>
                <xdr:nvGrpSpPr>
                  <xdr:cNvPr id="224" name="Grupo 223">
                    <a:extLst>
                      <a:ext uri="{FF2B5EF4-FFF2-40B4-BE49-F238E27FC236}">
                        <a16:creationId xmlns:a16="http://schemas.microsoft.com/office/drawing/2014/main" id="{00000000-0008-0000-0900-0000E0000000}"/>
                      </a:ext>
                    </a:extLst>
                  </xdr:cNvPr>
                  <xdr:cNvGrpSpPr/>
                </xdr:nvGrpSpPr>
                <xdr:grpSpPr>
                  <a:xfrm>
                    <a:off x="2947049" y="12351205"/>
                    <a:ext cx="770852" cy="272143"/>
                    <a:chOff x="2947049" y="12351205"/>
                    <a:chExt cx="770852" cy="272143"/>
                  </a:xfrm>
                </xdr:grpSpPr>
                <xdr:sp macro="" textlink="$K$6">
                  <xdr:nvSpPr>
                    <xdr:cNvPr id="225" name="Rectángulo 224">
                      <a:extLst>
                        <a:ext uri="{FF2B5EF4-FFF2-40B4-BE49-F238E27FC236}">
                          <a16:creationId xmlns:a16="http://schemas.microsoft.com/office/drawing/2014/main" id="{00000000-0008-0000-0900-0000E1000000}"/>
                        </a:ext>
                      </a:extLst>
                    </xdr:cNvPr>
                    <xdr:cNvSpPr/>
                  </xdr:nvSpPr>
                  <xdr:spPr>
                    <a:xfrm>
                      <a:off x="2982686" y="1235120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658EB88-255B-4CC5-B35A-2C06EECA47DE}"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J$6">
                  <xdr:nvSpPr>
                    <xdr:cNvPr id="226" name="Rectángulo 225">
                      <a:extLst>
                        <a:ext uri="{FF2B5EF4-FFF2-40B4-BE49-F238E27FC236}">
                          <a16:creationId xmlns:a16="http://schemas.microsoft.com/office/drawing/2014/main" id="{00000000-0008-0000-0900-0000E2000000}"/>
                        </a:ext>
                      </a:extLst>
                    </xdr:cNvPr>
                    <xdr:cNvSpPr/>
                  </xdr:nvSpPr>
                  <xdr:spPr>
                    <a:xfrm>
                      <a:off x="3267441" y="1235120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AD53F0-5C1B-4311-99A9-A461A0877824}"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
                  <xdr:nvSpPr>
                    <xdr:cNvPr id="227" name="CuadroTexto 226">
                      <a:extLst>
                        <a:ext uri="{FF2B5EF4-FFF2-40B4-BE49-F238E27FC236}">
                          <a16:creationId xmlns:a16="http://schemas.microsoft.com/office/drawing/2014/main" id="{00000000-0008-0000-0900-0000E3000000}"/>
                        </a:ext>
                      </a:extLst>
                    </xdr:cNvPr>
                    <xdr:cNvSpPr txBox="1"/>
                  </xdr:nvSpPr>
                  <xdr:spPr>
                    <a:xfrm>
                      <a:off x="2947049" y="1235601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96" name="Grupo 195">
                  <a:extLst>
                    <a:ext uri="{FF2B5EF4-FFF2-40B4-BE49-F238E27FC236}">
                      <a16:creationId xmlns:a16="http://schemas.microsoft.com/office/drawing/2014/main" id="{00000000-0008-0000-0900-0000C4000000}"/>
                    </a:ext>
                  </a:extLst>
                </xdr:cNvPr>
                <xdr:cNvGrpSpPr/>
              </xdr:nvGrpSpPr>
              <xdr:grpSpPr>
                <a:xfrm>
                  <a:off x="3627675" y="11900792"/>
                  <a:ext cx="2672103" cy="725279"/>
                  <a:chOff x="3627675" y="11900792"/>
                  <a:chExt cx="2672103" cy="725279"/>
                </a:xfrm>
              </xdr:grpSpPr>
              <xdr:grpSp>
                <xdr:nvGrpSpPr>
                  <xdr:cNvPr id="215" name="Grupo 214">
                    <a:extLst>
                      <a:ext uri="{FF2B5EF4-FFF2-40B4-BE49-F238E27FC236}">
                        <a16:creationId xmlns:a16="http://schemas.microsoft.com/office/drawing/2014/main" id="{00000000-0008-0000-0900-0000D7000000}"/>
                      </a:ext>
                    </a:extLst>
                  </xdr:cNvPr>
                  <xdr:cNvGrpSpPr/>
                </xdr:nvGrpSpPr>
                <xdr:grpSpPr>
                  <a:xfrm>
                    <a:off x="3627675" y="11900792"/>
                    <a:ext cx="2672103" cy="720000"/>
                    <a:chOff x="28594637" y="2081892"/>
                    <a:chExt cx="2474477" cy="585107"/>
                  </a:xfrm>
                </xdr:grpSpPr>
                <xdr:sp macro="" textlink="">
                  <xdr:nvSpPr>
                    <xdr:cNvPr id="220" name="Cheurón 219">
                      <a:extLst>
                        <a:ext uri="{FF2B5EF4-FFF2-40B4-BE49-F238E27FC236}">
                          <a16:creationId xmlns:a16="http://schemas.microsoft.com/office/drawing/2014/main" id="{00000000-0008-0000-0900-0000DC00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21" name="CuadroTexto 220">
                      <a:extLst>
                        <a:ext uri="{FF2B5EF4-FFF2-40B4-BE49-F238E27FC236}">
                          <a16:creationId xmlns:a16="http://schemas.microsoft.com/office/drawing/2014/main" id="{00000000-0008-0000-0900-0000DD000000}"/>
                        </a:ext>
                      </a:extLst>
                    </xdr:cNvPr>
                    <xdr:cNvSpPr txBox="1"/>
                  </xdr:nvSpPr>
                  <xdr:spPr>
                    <a:xfrm>
                      <a:off x="2880321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S$7">
                  <xdr:nvSpPr>
                    <xdr:cNvPr id="222" name="Rectángulo redondeado 221">
                      <a:extLst>
                        <a:ext uri="{FF2B5EF4-FFF2-40B4-BE49-F238E27FC236}">
                          <a16:creationId xmlns:a16="http://schemas.microsoft.com/office/drawing/2014/main" id="{00000000-0008-0000-0900-0000DE000000}"/>
                        </a:ext>
                      </a:extLst>
                    </xdr:cNvPr>
                    <xdr:cNvSpPr/>
                  </xdr:nvSpPr>
                  <xdr:spPr>
                    <a:xfrm>
                      <a:off x="3020233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2695697-7DC0-48CB-B073-27C4A0513A45}" type="TxLink">
                        <a:rPr lang="en-US" sz="1600" b="1" i="0" u="none" strike="noStrike">
                          <a:solidFill>
                            <a:srgbClr val="FFFF00"/>
                          </a:solidFill>
                          <a:latin typeface="Century Gothic"/>
                        </a:rPr>
                        <a:pPr algn="ctr"/>
                        <a:t>100,0%</a:t>
                      </a:fld>
                      <a:endParaRPr lang="es-CO" sz="1600">
                        <a:solidFill>
                          <a:srgbClr val="FFFF00"/>
                        </a:solidFill>
                      </a:endParaRPr>
                    </a:p>
                  </xdr:txBody>
                </xdr:sp>
              </xdr:grpSp>
              <xdr:grpSp>
                <xdr:nvGrpSpPr>
                  <xdr:cNvPr id="216" name="Grupo 215">
                    <a:extLst>
                      <a:ext uri="{FF2B5EF4-FFF2-40B4-BE49-F238E27FC236}">
                        <a16:creationId xmlns:a16="http://schemas.microsoft.com/office/drawing/2014/main" id="{00000000-0008-0000-0900-0000D8000000}"/>
                      </a:ext>
                    </a:extLst>
                  </xdr:cNvPr>
                  <xdr:cNvGrpSpPr/>
                </xdr:nvGrpSpPr>
                <xdr:grpSpPr>
                  <a:xfrm>
                    <a:off x="5369119" y="12347503"/>
                    <a:ext cx="770852" cy="278568"/>
                    <a:chOff x="5409940" y="12347503"/>
                    <a:chExt cx="770852" cy="278568"/>
                  </a:xfrm>
                </xdr:grpSpPr>
                <xdr:sp macro="" textlink="$K$7">
                  <xdr:nvSpPr>
                    <xdr:cNvPr id="217" name="Rectángulo 216">
                      <a:extLst>
                        <a:ext uri="{FF2B5EF4-FFF2-40B4-BE49-F238E27FC236}">
                          <a16:creationId xmlns:a16="http://schemas.microsoft.com/office/drawing/2014/main" id="{00000000-0008-0000-0900-0000D9000000}"/>
                        </a:ext>
                      </a:extLst>
                    </xdr:cNvPr>
                    <xdr:cNvSpPr/>
                  </xdr:nvSpPr>
                  <xdr:spPr>
                    <a:xfrm>
                      <a:off x="5434691" y="12353928"/>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5AE61E-9B7C-44F4-AC25-B0CB2E4D8EFD}"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J$7">
                  <xdr:nvSpPr>
                    <xdr:cNvPr id="218" name="Rectángulo 217">
                      <a:extLst>
                        <a:ext uri="{FF2B5EF4-FFF2-40B4-BE49-F238E27FC236}">
                          <a16:creationId xmlns:a16="http://schemas.microsoft.com/office/drawing/2014/main" id="{00000000-0008-0000-0900-0000DA000000}"/>
                        </a:ext>
                      </a:extLst>
                    </xdr:cNvPr>
                    <xdr:cNvSpPr/>
                  </xdr:nvSpPr>
                  <xdr:spPr>
                    <a:xfrm>
                      <a:off x="5710786" y="12353928"/>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3B32E77-7B42-450D-929C-4C548F89F3AF}"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
                  <xdr:nvSpPr>
                    <xdr:cNvPr id="219" name="CuadroTexto 218">
                      <a:extLst>
                        <a:ext uri="{FF2B5EF4-FFF2-40B4-BE49-F238E27FC236}">
                          <a16:creationId xmlns:a16="http://schemas.microsoft.com/office/drawing/2014/main" id="{00000000-0008-0000-0900-0000DB000000}"/>
                        </a:ext>
                      </a:extLst>
                    </xdr:cNvPr>
                    <xdr:cNvSpPr txBox="1"/>
                  </xdr:nvSpPr>
                  <xdr:spPr>
                    <a:xfrm>
                      <a:off x="5409940" y="1234750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97" name="Grupo 196">
                  <a:extLst>
                    <a:ext uri="{FF2B5EF4-FFF2-40B4-BE49-F238E27FC236}">
                      <a16:creationId xmlns:a16="http://schemas.microsoft.com/office/drawing/2014/main" id="{00000000-0008-0000-0900-0000C5000000}"/>
                    </a:ext>
                  </a:extLst>
                </xdr:cNvPr>
                <xdr:cNvGrpSpPr/>
              </xdr:nvGrpSpPr>
              <xdr:grpSpPr>
                <a:xfrm>
                  <a:off x="6052435" y="11903514"/>
                  <a:ext cx="2628000" cy="720000"/>
                  <a:chOff x="6052435" y="11903514"/>
                  <a:chExt cx="2628000" cy="720000"/>
                </a:xfrm>
              </xdr:grpSpPr>
              <xdr:grpSp>
                <xdr:nvGrpSpPr>
                  <xdr:cNvPr id="207" name="Grupo 206">
                    <a:extLst>
                      <a:ext uri="{FF2B5EF4-FFF2-40B4-BE49-F238E27FC236}">
                        <a16:creationId xmlns:a16="http://schemas.microsoft.com/office/drawing/2014/main" id="{00000000-0008-0000-0900-0000CF000000}"/>
                      </a:ext>
                    </a:extLst>
                  </xdr:cNvPr>
                  <xdr:cNvGrpSpPr/>
                </xdr:nvGrpSpPr>
                <xdr:grpSpPr>
                  <a:xfrm>
                    <a:off x="6052435" y="11903514"/>
                    <a:ext cx="2628000" cy="720000"/>
                    <a:chOff x="28531632" y="2081892"/>
                    <a:chExt cx="2433638" cy="585107"/>
                  </a:xfrm>
                </xdr:grpSpPr>
                <xdr:sp macro="" textlink="">
                  <xdr:nvSpPr>
                    <xdr:cNvPr id="212" name="Cheurón 211">
                      <a:extLst>
                        <a:ext uri="{FF2B5EF4-FFF2-40B4-BE49-F238E27FC236}">
                          <a16:creationId xmlns:a16="http://schemas.microsoft.com/office/drawing/2014/main" id="{00000000-0008-0000-0900-0000D400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13" name="CuadroTexto 212">
                      <a:extLst>
                        <a:ext uri="{FF2B5EF4-FFF2-40B4-BE49-F238E27FC236}">
                          <a16:creationId xmlns:a16="http://schemas.microsoft.com/office/drawing/2014/main" id="{00000000-0008-0000-0900-0000D5000000}"/>
                        </a:ext>
                      </a:extLst>
                    </xdr:cNvPr>
                    <xdr:cNvSpPr txBox="1"/>
                  </xdr:nvSpPr>
                  <xdr:spPr>
                    <a:xfrm>
                      <a:off x="28768454" y="2130485"/>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S$8">
                  <xdr:nvSpPr>
                    <xdr:cNvPr id="214" name="Rectángulo redondeado 213">
                      <a:extLst>
                        <a:ext uri="{FF2B5EF4-FFF2-40B4-BE49-F238E27FC236}">
                          <a16:creationId xmlns:a16="http://schemas.microsoft.com/office/drawing/2014/main" id="{00000000-0008-0000-0900-0000D6000000}"/>
                        </a:ext>
                      </a:extLst>
                    </xdr:cNvPr>
                    <xdr:cNvSpPr/>
                  </xdr:nvSpPr>
                  <xdr:spPr>
                    <a:xfrm>
                      <a:off x="300889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A5B2EA-87E8-4E20-81DA-B3056D10412D}" type="TxLink">
                        <a:rPr lang="en-US" sz="1600" b="1" i="0" u="none" strike="noStrike">
                          <a:solidFill>
                            <a:srgbClr val="FFFF00"/>
                          </a:solidFill>
                          <a:latin typeface="Century Gothic"/>
                        </a:rPr>
                        <a:pPr algn="ctr"/>
                        <a:t>-</a:t>
                      </a:fld>
                      <a:endParaRPr lang="es-CO" sz="2800">
                        <a:solidFill>
                          <a:srgbClr val="FFFF00"/>
                        </a:solidFill>
                      </a:endParaRPr>
                    </a:p>
                  </xdr:txBody>
                </xdr:sp>
              </xdr:grpSp>
              <xdr:grpSp>
                <xdr:nvGrpSpPr>
                  <xdr:cNvPr id="208" name="Grupo 207">
                    <a:extLst>
                      <a:ext uri="{FF2B5EF4-FFF2-40B4-BE49-F238E27FC236}">
                        <a16:creationId xmlns:a16="http://schemas.microsoft.com/office/drawing/2014/main" id="{00000000-0008-0000-0900-0000D0000000}"/>
                      </a:ext>
                    </a:extLst>
                  </xdr:cNvPr>
                  <xdr:cNvGrpSpPr/>
                </xdr:nvGrpSpPr>
                <xdr:grpSpPr>
                  <a:xfrm>
                    <a:off x="7791188" y="12335604"/>
                    <a:ext cx="770852" cy="279583"/>
                    <a:chOff x="7845616" y="12335604"/>
                    <a:chExt cx="770852" cy="279583"/>
                  </a:xfrm>
                </xdr:grpSpPr>
                <xdr:sp macro="" textlink="$K$8">
                  <xdr:nvSpPr>
                    <xdr:cNvPr id="209" name="Rectángulo 208">
                      <a:extLst>
                        <a:ext uri="{FF2B5EF4-FFF2-40B4-BE49-F238E27FC236}">
                          <a16:creationId xmlns:a16="http://schemas.microsoft.com/office/drawing/2014/main" id="{00000000-0008-0000-0900-0000D1000000}"/>
                        </a:ext>
                      </a:extLst>
                    </xdr:cNvPr>
                    <xdr:cNvSpPr/>
                  </xdr:nvSpPr>
                  <xdr:spPr>
                    <a:xfrm>
                      <a:off x="7873089"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83F2B96-C05A-4E6C-B17F-E01FC9DBB9BF}" type="TxLink">
                        <a:rPr lang="en-US" sz="1100" b="1" i="0" u="none" strike="noStrike">
                          <a:solidFill>
                            <a:srgbClr val="FFFF00"/>
                          </a:solidFill>
                          <a:latin typeface="Century Gothic"/>
                        </a:rPr>
                        <a:pPr algn="ctr"/>
                        <a:t>-</a:t>
                      </a:fld>
                      <a:endParaRPr lang="es-CO" sz="1200" b="1">
                        <a:solidFill>
                          <a:srgbClr val="FFFF00"/>
                        </a:solidFill>
                      </a:endParaRPr>
                    </a:p>
                  </xdr:txBody>
                </xdr:sp>
                <xdr:sp macro="" textlink="$J$8">
                  <xdr:nvSpPr>
                    <xdr:cNvPr id="210" name="Rectángulo 209">
                      <a:extLst>
                        <a:ext uri="{FF2B5EF4-FFF2-40B4-BE49-F238E27FC236}">
                          <a16:creationId xmlns:a16="http://schemas.microsoft.com/office/drawing/2014/main" id="{00000000-0008-0000-0900-0000D2000000}"/>
                        </a:ext>
                      </a:extLst>
                    </xdr:cNvPr>
                    <xdr:cNvSpPr/>
                  </xdr:nvSpPr>
                  <xdr:spPr>
                    <a:xfrm>
                      <a:off x="8149183"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7B128C7-AC54-4856-B656-7A4FE6FB05D4}" type="TxLink">
                        <a:rPr lang="en-US" sz="1100" b="1" i="0" u="none" strike="noStrike">
                          <a:solidFill>
                            <a:srgbClr val="FFFF00"/>
                          </a:solidFill>
                          <a:latin typeface="Century Gothic"/>
                        </a:rPr>
                        <a:pPr algn="ctr"/>
                        <a:t>0</a:t>
                      </a:fld>
                      <a:endParaRPr lang="es-CO" sz="1200" b="1">
                        <a:solidFill>
                          <a:srgbClr val="FFFF00"/>
                        </a:solidFill>
                      </a:endParaRPr>
                    </a:p>
                  </xdr:txBody>
                </xdr:sp>
                <xdr:sp macro="" textlink="">
                  <xdr:nvSpPr>
                    <xdr:cNvPr id="211" name="CuadroTexto 210">
                      <a:extLst>
                        <a:ext uri="{FF2B5EF4-FFF2-40B4-BE49-F238E27FC236}">
                          <a16:creationId xmlns:a16="http://schemas.microsoft.com/office/drawing/2014/main" id="{00000000-0008-0000-0900-0000D3000000}"/>
                        </a:ext>
                      </a:extLst>
                    </xdr:cNvPr>
                    <xdr:cNvSpPr txBox="1"/>
                  </xdr:nvSpPr>
                  <xdr:spPr>
                    <a:xfrm>
                      <a:off x="7845616" y="1233560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98" name="Grupo 197">
                  <a:extLst>
                    <a:ext uri="{FF2B5EF4-FFF2-40B4-BE49-F238E27FC236}">
                      <a16:creationId xmlns:a16="http://schemas.microsoft.com/office/drawing/2014/main" id="{00000000-0008-0000-0900-0000C6000000}"/>
                    </a:ext>
                  </a:extLst>
                </xdr:cNvPr>
                <xdr:cNvGrpSpPr/>
              </xdr:nvGrpSpPr>
              <xdr:grpSpPr>
                <a:xfrm>
                  <a:off x="8477237" y="11906236"/>
                  <a:ext cx="2628001" cy="720000"/>
                  <a:chOff x="8477237" y="11906236"/>
                  <a:chExt cx="2628001" cy="720000"/>
                </a:xfrm>
              </xdr:grpSpPr>
              <xdr:grpSp>
                <xdr:nvGrpSpPr>
                  <xdr:cNvPr id="199" name="Grupo 198">
                    <a:extLst>
                      <a:ext uri="{FF2B5EF4-FFF2-40B4-BE49-F238E27FC236}">
                        <a16:creationId xmlns:a16="http://schemas.microsoft.com/office/drawing/2014/main" id="{00000000-0008-0000-0900-0000C7000000}"/>
                      </a:ext>
                    </a:extLst>
                  </xdr:cNvPr>
                  <xdr:cNvGrpSpPr/>
                </xdr:nvGrpSpPr>
                <xdr:grpSpPr>
                  <a:xfrm>
                    <a:off x="8477237" y="11906236"/>
                    <a:ext cx="2628001" cy="720000"/>
                    <a:chOff x="28468627" y="2081892"/>
                    <a:chExt cx="2433638" cy="585107"/>
                  </a:xfrm>
                </xdr:grpSpPr>
                <xdr:sp macro="" textlink="">
                  <xdr:nvSpPr>
                    <xdr:cNvPr id="204" name="Cheurón 203">
                      <a:extLst>
                        <a:ext uri="{FF2B5EF4-FFF2-40B4-BE49-F238E27FC236}">
                          <a16:creationId xmlns:a16="http://schemas.microsoft.com/office/drawing/2014/main" id="{00000000-0008-0000-0900-0000CC00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5" name="CuadroTexto 204">
                      <a:extLst>
                        <a:ext uri="{FF2B5EF4-FFF2-40B4-BE49-F238E27FC236}">
                          <a16:creationId xmlns:a16="http://schemas.microsoft.com/office/drawing/2014/main" id="{00000000-0008-0000-0900-0000CD000000}"/>
                        </a:ext>
                      </a:extLst>
                    </xdr:cNvPr>
                    <xdr:cNvSpPr txBox="1"/>
                  </xdr:nvSpPr>
                  <xdr:spPr>
                    <a:xfrm>
                      <a:off x="28773454"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S$9">
                  <xdr:nvSpPr>
                    <xdr:cNvPr id="206" name="Rectángulo redondeado 205">
                      <a:extLst>
                        <a:ext uri="{FF2B5EF4-FFF2-40B4-BE49-F238E27FC236}">
                          <a16:creationId xmlns:a16="http://schemas.microsoft.com/office/drawing/2014/main" id="{00000000-0008-0000-0900-0000CE000000}"/>
                        </a:ext>
                      </a:extLst>
                    </xdr:cNvPr>
                    <xdr:cNvSpPr/>
                  </xdr:nvSpPr>
                  <xdr:spPr>
                    <a:xfrm>
                      <a:off x="29988128" y="2157577"/>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B943DD-91BC-46EC-BB55-D1CE6444C32F}" type="TxLink">
                        <a:rPr lang="en-US" sz="1600" b="1" i="0" u="none" strike="noStrike">
                          <a:solidFill>
                            <a:srgbClr val="FFFF00"/>
                          </a:solidFill>
                          <a:latin typeface="Century Gothic"/>
                        </a:rPr>
                        <a:pPr algn="ctr"/>
                        <a:t>33,3%</a:t>
                      </a:fld>
                      <a:endParaRPr lang="es-CO" sz="1600">
                        <a:solidFill>
                          <a:srgbClr val="FFFF00"/>
                        </a:solidFill>
                      </a:endParaRPr>
                    </a:p>
                  </xdr:txBody>
                </xdr:sp>
              </xdr:grpSp>
              <xdr:grpSp>
                <xdr:nvGrpSpPr>
                  <xdr:cNvPr id="200" name="Grupo 199">
                    <a:extLst>
                      <a:ext uri="{FF2B5EF4-FFF2-40B4-BE49-F238E27FC236}">
                        <a16:creationId xmlns:a16="http://schemas.microsoft.com/office/drawing/2014/main" id="{00000000-0008-0000-0900-0000C8000000}"/>
                      </a:ext>
                    </a:extLst>
                  </xdr:cNvPr>
                  <xdr:cNvGrpSpPr/>
                </xdr:nvGrpSpPr>
                <xdr:grpSpPr>
                  <a:xfrm>
                    <a:off x="10122954" y="12339010"/>
                    <a:ext cx="770852" cy="278900"/>
                    <a:chOff x="10109347" y="12339010"/>
                    <a:chExt cx="770852" cy="278900"/>
                  </a:xfrm>
                </xdr:grpSpPr>
                <xdr:sp macro="" textlink="$K$9">
                  <xdr:nvSpPr>
                    <xdr:cNvPr id="201" name="Rectángulo 200">
                      <a:extLst>
                        <a:ext uri="{FF2B5EF4-FFF2-40B4-BE49-F238E27FC236}">
                          <a16:creationId xmlns:a16="http://schemas.microsoft.com/office/drawing/2014/main" id="{00000000-0008-0000-0900-0000C9000000}"/>
                        </a:ext>
                      </a:extLst>
                    </xdr:cNvPr>
                    <xdr:cNvSpPr/>
                  </xdr:nvSpPr>
                  <xdr:spPr>
                    <a:xfrm>
                      <a:off x="10148201"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40F130-7769-4A21-B4F9-89B48C51AC34}" type="TxLink">
                        <a:rPr lang="en-US" sz="1100" b="1" i="0" u="none" strike="noStrike">
                          <a:solidFill>
                            <a:srgbClr val="FFFF00"/>
                          </a:solidFill>
                          <a:latin typeface="Century Gothic"/>
                        </a:rPr>
                        <a:pPr algn="ctr"/>
                        <a:t>2</a:t>
                      </a:fld>
                      <a:endParaRPr lang="es-CO" sz="1400" b="1">
                        <a:solidFill>
                          <a:srgbClr val="FFFF00"/>
                        </a:solidFill>
                      </a:endParaRPr>
                    </a:p>
                  </xdr:txBody>
                </xdr:sp>
                <xdr:sp macro="" textlink="$J$9">
                  <xdr:nvSpPr>
                    <xdr:cNvPr id="202" name="Rectángulo 201">
                      <a:extLst>
                        <a:ext uri="{FF2B5EF4-FFF2-40B4-BE49-F238E27FC236}">
                          <a16:creationId xmlns:a16="http://schemas.microsoft.com/office/drawing/2014/main" id="{00000000-0008-0000-0900-0000CA000000}"/>
                        </a:ext>
                      </a:extLst>
                    </xdr:cNvPr>
                    <xdr:cNvSpPr/>
                  </xdr:nvSpPr>
                  <xdr:spPr>
                    <a:xfrm>
                      <a:off x="10424295"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2712BF-91B0-4BF1-BDA4-BB50B582F37C}" type="TxLink">
                        <a:rPr lang="en-US" sz="1100" b="1" i="0" u="none" strike="noStrike">
                          <a:solidFill>
                            <a:srgbClr val="FFFF00"/>
                          </a:solidFill>
                          <a:latin typeface="Century Gothic"/>
                        </a:rPr>
                        <a:pPr algn="ctr"/>
                        <a:t>6</a:t>
                      </a:fld>
                      <a:endParaRPr lang="es-CO" sz="1400" b="1">
                        <a:solidFill>
                          <a:srgbClr val="FFFF00"/>
                        </a:solidFill>
                      </a:endParaRPr>
                    </a:p>
                  </xdr:txBody>
                </xdr:sp>
                <xdr:sp macro="" textlink="">
                  <xdr:nvSpPr>
                    <xdr:cNvPr id="203" name="CuadroTexto 202">
                      <a:extLst>
                        <a:ext uri="{FF2B5EF4-FFF2-40B4-BE49-F238E27FC236}">
                          <a16:creationId xmlns:a16="http://schemas.microsoft.com/office/drawing/2014/main" id="{00000000-0008-0000-0900-0000CB000000}"/>
                        </a:ext>
                      </a:extLst>
                    </xdr:cNvPr>
                    <xdr:cNvSpPr txBox="1"/>
                  </xdr:nvSpPr>
                  <xdr:spPr>
                    <a:xfrm>
                      <a:off x="10109347" y="12339010"/>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8" name="Grupo 7">
                <a:extLst>
                  <a:ext uri="{FF2B5EF4-FFF2-40B4-BE49-F238E27FC236}">
                    <a16:creationId xmlns:a16="http://schemas.microsoft.com/office/drawing/2014/main" id="{00000000-0008-0000-0900-000008000000}"/>
                  </a:ext>
                </a:extLst>
              </xdr:cNvPr>
              <xdr:cNvGrpSpPr/>
            </xdr:nvGrpSpPr>
            <xdr:grpSpPr>
              <a:xfrm>
                <a:off x="382195" y="13257662"/>
                <a:ext cx="10776885" cy="1542369"/>
                <a:chOff x="380997" y="13100930"/>
                <a:chExt cx="10779296" cy="1514730"/>
              </a:xfrm>
            </xdr:grpSpPr>
            <xdr:grpSp>
              <xdr:nvGrpSpPr>
                <xdr:cNvPr id="100" name="Grupo 99">
                  <a:extLst>
                    <a:ext uri="{FF2B5EF4-FFF2-40B4-BE49-F238E27FC236}">
                      <a16:creationId xmlns:a16="http://schemas.microsoft.com/office/drawing/2014/main" id="{00000000-0008-0000-0900-000064000000}"/>
                    </a:ext>
                  </a:extLst>
                </xdr:cNvPr>
                <xdr:cNvGrpSpPr/>
              </xdr:nvGrpSpPr>
              <xdr:grpSpPr>
                <a:xfrm>
                  <a:off x="380997" y="13103660"/>
                  <a:ext cx="720000" cy="1512000"/>
                  <a:chOff x="27391177" y="8354785"/>
                  <a:chExt cx="720000" cy="1512000"/>
                </a:xfrm>
              </xdr:grpSpPr>
              <xdr:sp macro="" textlink="">
                <xdr:nvSpPr>
                  <xdr:cNvPr id="191" name="Rectángulo 190">
                    <a:extLst>
                      <a:ext uri="{FF2B5EF4-FFF2-40B4-BE49-F238E27FC236}">
                        <a16:creationId xmlns:a16="http://schemas.microsoft.com/office/drawing/2014/main" id="{00000000-0008-0000-0900-0000BF000000}"/>
                      </a:ext>
                    </a:extLst>
                  </xdr:cNvPr>
                  <xdr:cNvSpPr/>
                </xdr:nvSpPr>
                <xdr:spPr>
                  <a:xfrm>
                    <a:off x="27391177" y="8354785"/>
                    <a:ext cx="72000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92" name="CuadroTexto 191">
                    <a:extLst>
                      <a:ext uri="{FF2B5EF4-FFF2-40B4-BE49-F238E27FC236}">
                        <a16:creationId xmlns:a16="http://schemas.microsoft.com/office/drawing/2014/main" id="{00000000-0008-0000-0900-0000C0000000}"/>
                      </a:ext>
                    </a:extLst>
                  </xdr:cNvPr>
                  <xdr:cNvSpPr txBox="1"/>
                </xdr:nvSpPr>
                <xdr:spPr>
                  <a:xfrm rot="16200000">
                    <a:off x="27132645"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101" name="Grupo 100">
                  <a:extLst>
                    <a:ext uri="{FF2B5EF4-FFF2-40B4-BE49-F238E27FC236}">
                      <a16:creationId xmlns:a16="http://schemas.microsoft.com/office/drawing/2014/main" id="{00000000-0008-0000-0900-000065000000}"/>
                    </a:ext>
                  </a:extLst>
                </xdr:cNvPr>
                <xdr:cNvGrpSpPr/>
              </xdr:nvGrpSpPr>
              <xdr:grpSpPr>
                <a:xfrm>
                  <a:off x="1197505" y="13103645"/>
                  <a:ext cx="2160005" cy="728022"/>
                  <a:chOff x="1197505" y="13103645"/>
                  <a:chExt cx="2160005" cy="728022"/>
                </a:xfrm>
              </xdr:grpSpPr>
              <xdr:grpSp>
                <xdr:nvGrpSpPr>
                  <xdr:cNvPr id="183" name="Grupo 182">
                    <a:extLst>
                      <a:ext uri="{FF2B5EF4-FFF2-40B4-BE49-F238E27FC236}">
                        <a16:creationId xmlns:a16="http://schemas.microsoft.com/office/drawing/2014/main" id="{00000000-0008-0000-0900-0000B7000000}"/>
                      </a:ext>
                    </a:extLst>
                  </xdr:cNvPr>
                  <xdr:cNvGrpSpPr/>
                </xdr:nvGrpSpPr>
                <xdr:grpSpPr>
                  <a:xfrm>
                    <a:off x="1197505" y="13103645"/>
                    <a:ext cx="2160005" cy="720000"/>
                    <a:chOff x="28670251" y="2081892"/>
                    <a:chExt cx="2000250" cy="585107"/>
                  </a:xfrm>
                </xdr:grpSpPr>
                <xdr:sp macro="" textlink="">
                  <xdr:nvSpPr>
                    <xdr:cNvPr id="188" name="Cheurón 187">
                      <a:extLst>
                        <a:ext uri="{FF2B5EF4-FFF2-40B4-BE49-F238E27FC236}">
                          <a16:creationId xmlns:a16="http://schemas.microsoft.com/office/drawing/2014/main" id="{00000000-0008-0000-0900-0000BC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9" name="CuadroTexto 188">
                      <a:extLst>
                        <a:ext uri="{FF2B5EF4-FFF2-40B4-BE49-F238E27FC236}">
                          <a16:creationId xmlns:a16="http://schemas.microsoft.com/office/drawing/2014/main" id="{00000000-0008-0000-0900-0000BD000000}"/>
                        </a:ext>
                      </a:extLst>
                    </xdr:cNvPr>
                    <xdr:cNvSpPr txBox="1"/>
                  </xdr:nvSpPr>
                  <xdr:spPr>
                    <a:xfrm>
                      <a:off x="28846736" y="2166613"/>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S$10">
                  <xdr:nvSpPr>
                    <xdr:cNvPr id="190" name="Rectángulo redondeado 189">
                      <a:extLst>
                        <a:ext uri="{FF2B5EF4-FFF2-40B4-BE49-F238E27FC236}">
                          <a16:creationId xmlns:a16="http://schemas.microsoft.com/office/drawing/2014/main" id="{00000000-0008-0000-0900-0000BE000000}"/>
                        </a:ext>
                      </a:extLst>
                    </xdr:cNvPr>
                    <xdr:cNvSpPr/>
                  </xdr:nvSpPr>
                  <xdr:spPr>
                    <a:xfrm>
                      <a:off x="297991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0D7B4A-6D6C-480C-B955-CDABAA9BC226}" type="TxLink">
                        <a:rPr lang="en-US" sz="1600" b="1" i="0" u="none" strike="noStrike">
                          <a:solidFill>
                            <a:srgbClr val="FFFF00"/>
                          </a:solidFill>
                          <a:latin typeface="Century Gothic"/>
                        </a:rPr>
                        <a:pPr algn="ctr"/>
                        <a:t>66,7%</a:t>
                      </a:fld>
                      <a:endParaRPr lang="es-CO" sz="1600">
                        <a:solidFill>
                          <a:srgbClr val="FFFF00"/>
                        </a:solidFill>
                      </a:endParaRPr>
                    </a:p>
                  </xdr:txBody>
                </xdr:sp>
              </xdr:grpSp>
              <xdr:grpSp>
                <xdr:nvGrpSpPr>
                  <xdr:cNvPr id="184" name="Grupo 183">
                    <a:extLst>
                      <a:ext uri="{FF2B5EF4-FFF2-40B4-BE49-F238E27FC236}">
                        <a16:creationId xmlns:a16="http://schemas.microsoft.com/office/drawing/2014/main" id="{00000000-0008-0000-0900-0000B8000000}"/>
                      </a:ext>
                    </a:extLst>
                  </xdr:cNvPr>
                  <xdr:cNvGrpSpPr/>
                </xdr:nvGrpSpPr>
                <xdr:grpSpPr>
                  <a:xfrm>
                    <a:off x="2429979" y="13550046"/>
                    <a:ext cx="770852" cy="281621"/>
                    <a:chOff x="2429979" y="13550046"/>
                    <a:chExt cx="770852" cy="281621"/>
                  </a:xfrm>
                </xdr:grpSpPr>
                <xdr:sp macro="" textlink="$K$10">
                  <xdr:nvSpPr>
                    <xdr:cNvPr id="185" name="Rectángulo 184">
                      <a:extLst>
                        <a:ext uri="{FF2B5EF4-FFF2-40B4-BE49-F238E27FC236}">
                          <a16:creationId xmlns:a16="http://schemas.microsoft.com/office/drawing/2014/main" id="{00000000-0008-0000-0900-0000B9000000}"/>
                        </a:ext>
                      </a:extLst>
                    </xdr:cNvPr>
                    <xdr:cNvSpPr/>
                  </xdr:nvSpPr>
                  <xdr:spPr>
                    <a:xfrm>
                      <a:off x="2462887"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3696C5-91FD-4FF2-B112-A0D81278964D}" type="TxLink">
                        <a:rPr lang="en-US" sz="1100" b="1" i="0" u="none" strike="noStrike">
                          <a:solidFill>
                            <a:srgbClr val="FFFF00"/>
                          </a:solidFill>
                          <a:latin typeface="Century Gothic"/>
                        </a:rPr>
                        <a:pPr algn="ctr"/>
                        <a:t>2</a:t>
                      </a:fld>
                      <a:endParaRPr lang="es-CO" sz="1600" b="1">
                        <a:solidFill>
                          <a:srgbClr val="FFFF00"/>
                        </a:solidFill>
                      </a:endParaRPr>
                    </a:p>
                  </xdr:txBody>
                </xdr:sp>
                <xdr:sp macro="" textlink="$J$10">
                  <xdr:nvSpPr>
                    <xdr:cNvPr id="186" name="Rectángulo 185">
                      <a:extLst>
                        <a:ext uri="{FF2B5EF4-FFF2-40B4-BE49-F238E27FC236}">
                          <a16:creationId xmlns:a16="http://schemas.microsoft.com/office/drawing/2014/main" id="{00000000-0008-0000-0900-0000BA000000}"/>
                        </a:ext>
                      </a:extLst>
                    </xdr:cNvPr>
                    <xdr:cNvSpPr/>
                  </xdr:nvSpPr>
                  <xdr:spPr>
                    <a:xfrm>
                      <a:off x="2738981"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9E9F63B-5A21-4F05-97D9-82240AD55A9B}" type="TxLink">
                        <a:rPr lang="en-US" sz="1100" b="1" i="0" u="none" strike="noStrike">
                          <a:solidFill>
                            <a:srgbClr val="FFFF00"/>
                          </a:solidFill>
                          <a:latin typeface="Century Gothic"/>
                        </a:rPr>
                        <a:pPr algn="ctr"/>
                        <a:t>3</a:t>
                      </a:fld>
                      <a:endParaRPr lang="es-CO" sz="1600" b="1">
                        <a:solidFill>
                          <a:srgbClr val="FFFF00"/>
                        </a:solidFill>
                      </a:endParaRPr>
                    </a:p>
                  </xdr:txBody>
                </xdr:sp>
                <xdr:sp macro="" textlink="">
                  <xdr:nvSpPr>
                    <xdr:cNvPr id="187" name="CuadroTexto 186">
                      <a:extLst>
                        <a:ext uri="{FF2B5EF4-FFF2-40B4-BE49-F238E27FC236}">
                          <a16:creationId xmlns:a16="http://schemas.microsoft.com/office/drawing/2014/main" id="{00000000-0008-0000-0900-0000BB000000}"/>
                        </a:ext>
                      </a:extLst>
                    </xdr:cNvPr>
                    <xdr:cNvSpPr txBox="1"/>
                  </xdr:nvSpPr>
                  <xdr:spPr>
                    <a:xfrm>
                      <a:off x="2429979" y="1355004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2" name="Grupo 101">
                  <a:extLst>
                    <a:ext uri="{FF2B5EF4-FFF2-40B4-BE49-F238E27FC236}">
                      <a16:creationId xmlns:a16="http://schemas.microsoft.com/office/drawing/2014/main" id="{00000000-0008-0000-0900-000066000000}"/>
                    </a:ext>
                  </a:extLst>
                </xdr:cNvPr>
                <xdr:cNvGrpSpPr/>
              </xdr:nvGrpSpPr>
              <xdr:grpSpPr>
                <a:xfrm>
                  <a:off x="3159656" y="13106368"/>
                  <a:ext cx="2195848" cy="720000"/>
                  <a:chOff x="3159656" y="13106368"/>
                  <a:chExt cx="2195848" cy="720000"/>
                </a:xfrm>
              </xdr:grpSpPr>
              <xdr:grpSp>
                <xdr:nvGrpSpPr>
                  <xdr:cNvPr id="175" name="Grupo 174">
                    <a:extLst>
                      <a:ext uri="{FF2B5EF4-FFF2-40B4-BE49-F238E27FC236}">
                        <a16:creationId xmlns:a16="http://schemas.microsoft.com/office/drawing/2014/main" id="{00000000-0008-0000-0900-0000AF000000}"/>
                      </a:ext>
                    </a:extLst>
                  </xdr:cNvPr>
                  <xdr:cNvGrpSpPr/>
                </xdr:nvGrpSpPr>
                <xdr:grpSpPr>
                  <a:xfrm>
                    <a:off x="3159656" y="13106368"/>
                    <a:ext cx="2195848" cy="720000"/>
                    <a:chOff x="28670251" y="2081892"/>
                    <a:chExt cx="2033442" cy="585107"/>
                  </a:xfrm>
                </xdr:grpSpPr>
                <xdr:sp macro="" textlink="">
                  <xdr:nvSpPr>
                    <xdr:cNvPr id="180" name="Cheurón 179">
                      <a:extLst>
                        <a:ext uri="{FF2B5EF4-FFF2-40B4-BE49-F238E27FC236}">
                          <a16:creationId xmlns:a16="http://schemas.microsoft.com/office/drawing/2014/main" id="{00000000-0008-0000-0900-0000B4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81" name="CuadroTexto 180">
                      <a:extLst>
                        <a:ext uri="{FF2B5EF4-FFF2-40B4-BE49-F238E27FC236}">
                          <a16:creationId xmlns:a16="http://schemas.microsoft.com/office/drawing/2014/main" id="{00000000-0008-0000-0900-0000B5000000}"/>
                        </a:ext>
                      </a:extLst>
                    </xdr:cNvPr>
                    <xdr:cNvSpPr txBox="1"/>
                  </xdr:nvSpPr>
                  <xdr:spPr>
                    <a:xfrm>
                      <a:off x="28843624" y="2159702"/>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S$11">
                  <xdr:nvSpPr>
                    <xdr:cNvPr id="182" name="Rectángulo redondeado 181">
                      <a:extLst>
                        <a:ext uri="{FF2B5EF4-FFF2-40B4-BE49-F238E27FC236}">
                          <a16:creationId xmlns:a16="http://schemas.microsoft.com/office/drawing/2014/main" id="{00000000-0008-0000-0900-0000B6000000}"/>
                        </a:ext>
                      </a:extLst>
                    </xdr:cNvPr>
                    <xdr:cNvSpPr/>
                  </xdr:nvSpPr>
                  <xdr:spPr>
                    <a:xfrm>
                      <a:off x="29836919" y="2179693"/>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5F665B-B594-4379-AE59-E6872E3D2C9D}"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76" name="Grupo 175">
                    <a:extLst>
                      <a:ext uri="{FF2B5EF4-FFF2-40B4-BE49-F238E27FC236}">
                        <a16:creationId xmlns:a16="http://schemas.microsoft.com/office/drawing/2014/main" id="{00000000-0008-0000-0900-0000B0000000}"/>
                      </a:ext>
                    </a:extLst>
                  </xdr:cNvPr>
                  <xdr:cNvGrpSpPr/>
                </xdr:nvGrpSpPr>
                <xdr:grpSpPr>
                  <a:xfrm>
                    <a:off x="4416617" y="13536434"/>
                    <a:ext cx="770852" cy="284349"/>
                    <a:chOff x="4416617" y="13536434"/>
                    <a:chExt cx="770852" cy="284349"/>
                  </a:xfrm>
                </xdr:grpSpPr>
                <xdr:sp macro="" textlink="$K$11">
                  <xdr:nvSpPr>
                    <xdr:cNvPr id="177" name="Rectángulo 176">
                      <a:extLst>
                        <a:ext uri="{FF2B5EF4-FFF2-40B4-BE49-F238E27FC236}">
                          <a16:creationId xmlns:a16="http://schemas.microsoft.com/office/drawing/2014/main" id="{00000000-0008-0000-0900-0000B1000000}"/>
                        </a:ext>
                      </a:extLst>
                    </xdr:cNvPr>
                    <xdr:cNvSpPr/>
                  </xdr:nvSpPr>
                  <xdr:spPr>
                    <a:xfrm>
                      <a:off x="4452250" y="135486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E953BC-1753-4935-9202-7E4B1B8CA915}" type="TxLink">
                        <a:rPr lang="en-US" sz="1100" b="1" i="0" u="none" strike="noStrike">
                          <a:solidFill>
                            <a:srgbClr val="FFFF00"/>
                          </a:solidFill>
                          <a:latin typeface="Century Gothic"/>
                        </a:rPr>
                        <a:pPr algn="ctr"/>
                        <a:t>1</a:t>
                      </a:fld>
                      <a:endParaRPr lang="es-CO" sz="1800" b="1">
                        <a:solidFill>
                          <a:srgbClr val="FFFF00"/>
                        </a:solidFill>
                      </a:endParaRPr>
                    </a:p>
                  </xdr:txBody>
                </xdr:sp>
                <xdr:sp macro="" textlink="$J$11">
                  <xdr:nvSpPr>
                    <xdr:cNvPr id="178" name="Rectángulo 177">
                      <a:extLst>
                        <a:ext uri="{FF2B5EF4-FFF2-40B4-BE49-F238E27FC236}">
                          <a16:creationId xmlns:a16="http://schemas.microsoft.com/office/drawing/2014/main" id="{00000000-0008-0000-0900-0000B2000000}"/>
                        </a:ext>
                      </a:extLst>
                    </xdr:cNvPr>
                    <xdr:cNvSpPr/>
                  </xdr:nvSpPr>
                  <xdr:spPr>
                    <a:xfrm>
                      <a:off x="4728345" y="135486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60BBF8-502D-45C2-BAA0-A7B0D1A5FEB6}" type="TxLink">
                        <a:rPr lang="en-US" sz="1100" b="1" i="0" u="none" strike="noStrike">
                          <a:solidFill>
                            <a:srgbClr val="FFFF00"/>
                          </a:solidFill>
                          <a:latin typeface="Century Gothic"/>
                        </a:rPr>
                        <a:pPr algn="ctr"/>
                        <a:t>1</a:t>
                      </a:fld>
                      <a:endParaRPr lang="es-CO" sz="1800" b="1">
                        <a:solidFill>
                          <a:srgbClr val="FFFF00"/>
                        </a:solidFill>
                      </a:endParaRPr>
                    </a:p>
                  </xdr:txBody>
                </xdr:sp>
                <xdr:sp macro="" textlink="">
                  <xdr:nvSpPr>
                    <xdr:cNvPr id="179" name="CuadroTexto 178">
                      <a:extLst>
                        <a:ext uri="{FF2B5EF4-FFF2-40B4-BE49-F238E27FC236}">
                          <a16:creationId xmlns:a16="http://schemas.microsoft.com/office/drawing/2014/main" id="{00000000-0008-0000-0900-0000B3000000}"/>
                        </a:ext>
                      </a:extLst>
                    </xdr:cNvPr>
                    <xdr:cNvSpPr txBox="1"/>
                  </xdr:nvSpPr>
                  <xdr:spPr>
                    <a:xfrm>
                      <a:off x="4416617" y="1353643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3" name="Grupo 102">
                  <a:extLst>
                    <a:ext uri="{FF2B5EF4-FFF2-40B4-BE49-F238E27FC236}">
                      <a16:creationId xmlns:a16="http://schemas.microsoft.com/office/drawing/2014/main" id="{00000000-0008-0000-0900-000067000000}"/>
                    </a:ext>
                  </a:extLst>
                </xdr:cNvPr>
                <xdr:cNvGrpSpPr/>
              </xdr:nvGrpSpPr>
              <xdr:grpSpPr>
                <a:xfrm>
                  <a:off x="5121794" y="13109091"/>
                  <a:ext cx="2182243" cy="720000"/>
                  <a:chOff x="5121794" y="13109091"/>
                  <a:chExt cx="2182243" cy="720000"/>
                </a:xfrm>
              </xdr:grpSpPr>
              <xdr:grpSp>
                <xdr:nvGrpSpPr>
                  <xdr:cNvPr id="167" name="Grupo 166">
                    <a:extLst>
                      <a:ext uri="{FF2B5EF4-FFF2-40B4-BE49-F238E27FC236}">
                        <a16:creationId xmlns:a16="http://schemas.microsoft.com/office/drawing/2014/main" id="{00000000-0008-0000-0900-0000A7000000}"/>
                      </a:ext>
                    </a:extLst>
                  </xdr:cNvPr>
                  <xdr:cNvGrpSpPr/>
                </xdr:nvGrpSpPr>
                <xdr:grpSpPr>
                  <a:xfrm>
                    <a:off x="5121794" y="13109091"/>
                    <a:ext cx="2182243" cy="720000"/>
                    <a:chOff x="28670251" y="2081892"/>
                    <a:chExt cx="2020844" cy="585107"/>
                  </a:xfrm>
                </xdr:grpSpPr>
                <xdr:sp macro="" textlink="">
                  <xdr:nvSpPr>
                    <xdr:cNvPr id="172" name="Cheurón 171">
                      <a:extLst>
                        <a:ext uri="{FF2B5EF4-FFF2-40B4-BE49-F238E27FC236}">
                          <a16:creationId xmlns:a16="http://schemas.microsoft.com/office/drawing/2014/main" id="{00000000-0008-0000-0900-0000AC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73" name="CuadroTexto 172">
                      <a:extLst>
                        <a:ext uri="{FF2B5EF4-FFF2-40B4-BE49-F238E27FC236}">
                          <a16:creationId xmlns:a16="http://schemas.microsoft.com/office/drawing/2014/main" id="{00000000-0008-0000-0900-0000AD000000}"/>
                        </a:ext>
                      </a:extLst>
                    </xdr:cNvPr>
                    <xdr:cNvSpPr txBox="1"/>
                  </xdr:nvSpPr>
                  <xdr:spPr>
                    <a:xfrm>
                      <a:off x="28864817" y="2159702"/>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S$12">
                  <xdr:nvSpPr>
                    <xdr:cNvPr id="174" name="Rectángulo redondeado 173">
                      <a:extLst>
                        <a:ext uri="{FF2B5EF4-FFF2-40B4-BE49-F238E27FC236}">
                          <a16:creationId xmlns:a16="http://schemas.microsoft.com/office/drawing/2014/main" id="{00000000-0008-0000-0900-0000AE000000}"/>
                        </a:ext>
                      </a:extLst>
                    </xdr:cNvPr>
                    <xdr:cNvSpPr/>
                  </xdr:nvSpPr>
                  <xdr:spPr>
                    <a:xfrm>
                      <a:off x="29824321" y="2179693"/>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240F7D-105B-4399-8554-1ECF9D3E287E}"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68" name="Grupo 167">
                    <a:extLst>
                      <a:ext uri="{FF2B5EF4-FFF2-40B4-BE49-F238E27FC236}">
                        <a16:creationId xmlns:a16="http://schemas.microsoft.com/office/drawing/2014/main" id="{00000000-0008-0000-0900-0000A8000000}"/>
                      </a:ext>
                    </a:extLst>
                  </xdr:cNvPr>
                  <xdr:cNvGrpSpPr/>
                </xdr:nvGrpSpPr>
                <xdr:grpSpPr>
                  <a:xfrm>
                    <a:off x="6371102" y="13544941"/>
                    <a:ext cx="770852" cy="278565"/>
                    <a:chOff x="6371102" y="13544941"/>
                    <a:chExt cx="770852" cy="278565"/>
                  </a:xfrm>
                </xdr:grpSpPr>
                <xdr:sp macro="" textlink="$K$12">
                  <xdr:nvSpPr>
                    <xdr:cNvPr id="169" name="Rectángulo 168">
                      <a:extLst>
                        <a:ext uri="{FF2B5EF4-FFF2-40B4-BE49-F238E27FC236}">
                          <a16:creationId xmlns:a16="http://schemas.microsoft.com/office/drawing/2014/main" id="{00000000-0008-0000-0900-0000A9000000}"/>
                        </a:ext>
                      </a:extLst>
                    </xdr:cNvPr>
                    <xdr:cNvSpPr/>
                  </xdr:nvSpPr>
                  <xdr:spPr>
                    <a:xfrm>
                      <a:off x="6400791"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30229BC-7F93-47C7-9E7B-53A219876A3E}" type="TxLink">
                        <a:rPr lang="en-US" sz="1100" b="1" i="0" u="none" strike="noStrike">
                          <a:solidFill>
                            <a:srgbClr val="FFFF00"/>
                          </a:solidFill>
                          <a:latin typeface="Century Gothic"/>
                        </a:rPr>
                        <a:pPr algn="ctr"/>
                        <a:t>2</a:t>
                      </a:fld>
                      <a:endParaRPr lang="es-CO" sz="2000" b="1">
                        <a:solidFill>
                          <a:srgbClr val="FFFF00"/>
                        </a:solidFill>
                      </a:endParaRPr>
                    </a:p>
                  </xdr:txBody>
                </xdr:sp>
                <xdr:sp macro="" textlink="$J$12">
                  <xdr:nvSpPr>
                    <xdr:cNvPr id="170" name="Rectángulo 169">
                      <a:extLst>
                        <a:ext uri="{FF2B5EF4-FFF2-40B4-BE49-F238E27FC236}">
                          <a16:creationId xmlns:a16="http://schemas.microsoft.com/office/drawing/2014/main" id="{00000000-0008-0000-0900-0000AA000000}"/>
                        </a:ext>
                      </a:extLst>
                    </xdr:cNvPr>
                    <xdr:cNvSpPr/>
                  </xdr:nvSpPr>
                  <xdr:spPr>
                    <a:xfrm>
                      <a:off x="6676885"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02CBDA-4975-4C1B-A271-C14D6D24756D}" type="TxLink">
                        <a:rPr lang="en-US" sz="1100" b="1" i="0" u="none" strike="noStrike">
                          <a:solidFill>
                            <a:srgbClr val="FFFF00"/>
                          </a:solidFill>
                          <a:latin typeface="Century Gothic"/>
                        </a:rPr>
                        <a:pPr algn="ctr"/>
                        <a:t>2</a:t>
                      </a:fld>
                      <a:endParaRPr lang="es-CO" sz="2000" b="1">
                        <a:solidFill>
                          <a:srgbClr val="FFFF00"/>
                        </a:solidFill>
                      </a:endParaRPr>
                    </a:p>
                  </xdr:txBody>
                </xdr:sp>
                <xdr:sp macro="" textlink="">
                  <xdr:nvSpPr>
                    <xdr:cNvPr id="171" name="CuadroTexto 170">
                      <a:extLst>
                        <a:ext uri="{FF2B5EF4-FFF2-40B4-BE49-F238E27FC236}">
                          <a16:creationId xmlns:a16="http://schemas.microsoft.com/office/drawing/2014/main" id="{00000000-0008-0000-0900-0000AB000000}"/>
                        </a:ext>
                      </a:extLst>
                    </xdr:cNvPr>
                    <xdr:cNvSpPr txBox="1"/>
                  </xdr:nvSpPr>
                  <xdr:spPr>
                    <a:xfrm>
                      <a:off x="6371102" y="1354494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4" name="Grupo 103">
                  <a:extLst>
                    <a:ext uri="{FF2B5EF4-FFF2-40B4-BE49-F238E27FC236}">
                      <a16:creationId xmlns:a16="http://schemas.microsoft.com/office/drawing/2014/main" id="{00000000-0008-0000-0900-000068000000}"/>
                    </a:ext>
                  </a:extLst>
                </xdr:cNvPr>
                <xdr:cNvGrpSpPr/>
              </xdr:nvGrpSpPr>
              <xdr:grpSpPr>
                <a:xfrm>
                  <a:off x="7078947" y="13106711"/>
                  <a:ext cx="2175256" cy="725999"/>
                  <a:chOff x="7078947" y="13106711"/>
                  <a:chExt cx="2175256" cy="725999"/>
                </a:xfrm>
              </xdr:grpSpPr>
              <xdr:grpSp>
                <xdr:nvGrpSpPr>
                  <xdr:cNvPr id="159" name="Grupo 158">
                    <a:extLst>
                      <a:ext uri="{FF2B5EF4-FFF2-40B4-BE49-F238E27FC236}">
                        <a16:creationId xmlns:a16="http://schemas.microsoft.com/office/drawing/2014/main" id="{00000000-0008-0000-0900-00009F000000}"/>
                      </a:ext>
                    </a:extLst>
                  </xdr:cNvPr>
                  <xdr:cNvGrpSpPr/>
                </xdr:nvGrpSpPr>
                <xdr:grpSpPr>
                  <a:xfrm>
                    <a:off x="7078947" y="13106711"/>
                    <a:ext cx="2175256" cy="720000"/>
                    <a:chOff x="28678435" y="2088803"/>
                    <a:chExt cx="2055483" cy="585107"/>
                  </a:xfrm>
                </xdr:grpSpPr>
                <xdr:sp macro="" textlink="">
                  <xdr:nvSpPr>
                    <xdr:cNvPr id="164" name="Cheurón 163">
                      <a:extLst>
                        <a:ext uri="{FF2B5EF4-FFF2-40B4-BE49-F238E27FC236}">
                          <a16:creationId xmlns:a16="http://schemas.microsoft.com/office/drawing/2014/main" id="{00000000-0008-0000-0900-0000A4000000}"/>
                        </a:ext>
                      </a:extLst>
                    </xdr:cNvPr>
                    <xdr:cNvSpPr/>
                  </xdr:nvSpPr>
                  <xdr:spPr>
                    <a:xfrm>
                      <a:off x="28678435" y="2088803"/>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65" name="CuadroTexto 164">
                      <a:extLst>
                        <a:ext uri="{FF2B5EF4-FFF2-40B4-BE49-F238E27FC236}">
                          <a16:creationId xmlns:a16="http://schemas.microsoft.com/office/drawing/2014/main" id="{00000000-0008-0000-0900-0000A5000000}"/>
                        </a:ext>
                      </a:extLst>
                    </xdr:cNvPr>
                    <xdr:cNvSpPr txBox="1"/>
                  </xdr:nvSpPr>
                  <xdr:spPr>
                    <a:xfrm>
                      <a:off x="28751134" y="2170761"/>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S$13">
                  <xdr:nvSpPr>
                    <xdr:cNvPr id="166" name="Rectángulo redondeado 165">
                      <a:extLst>
                        <a:ext uri="{FF2B5EF4-FFF2-40B4-BE49-F238E27FC236}">
                          <a16:creationId xmlns:a16="http://schemas.microsoft.com/office/drawing/2014/main" id="{00000000-0008-0000-0900-0000A6000000}"/>
                        </a:ext>
                      </a:extLst>
                    </xdr:cNvPr>
                    <xdr:cNvSpPr/>
                  </xdr:nvSpPr>
                  <xdr:spPr>
                    <a:xfrm>
                      <a:off x="29849455" y="2179693"/>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890802-BC4A-4034-99D4-519BEE554BFA}" type="TxLink">
                        <a:rPr lang="en-US" sz="1600" b="1" i="0" u="none" strike="noStrike">
                          <a:solidFill>
                            <a:srgbClr val="FFFF00"/>
                          </a:solidFill>
                          <a:latin typeface="Century Gothic"/>
                        </a:rPr>
                        <a:pPr algn="ctr"/>
                        <a:t>40,0%</a:t>
                      </a:fld>
                      <a:endParaRPr lang="es-CO" sz="1800">
                        <a:solidFill>
                          <a:srgbClr val="FFFF00"/>
                        </a:solidFill>
                      </a:endParaRPr>
                    </a:p>
                  </xdr:txBody>
                </xdr:sp>
              </xdr:grpSp>
              <xdr:grpSp>
                <xdr:nvGrpSpPr>
                  <xdr:cNvPr id="160" name="Grupo 159">
                    <a:extLst>
                      <a:ext uri="{FF2B5EF4-FFF2-40B4-BE49-F238E27FC236}">
                        <a16:creationId xmlns:a16="http://schemas.microsoft.com/office/drawing/2014/main" id="{00000000-0008-0000-0900-0000A0000000}"/>
                      </a:ext>
                    </a:extLst>
                  </xdr:cNvPr>
                  <xdr:cNvGrpSpPr/>
                </xdr:nvGrpSpPr>
                <xdr:grpSpPr>
                  <a:xfrm>
                    <a:off x="8330530" y="13560566"/>
                    <a:ext cx="770852" cy="272144"/>
                    <a:chOff x="8330530" y="13560566"/>
                    <a:chExt cx="770852" cy="272144"/>
                  </a:xfrm>
                </xdr:grpSpPr>
                <xdr:sp macro="" textlink="$K$13">
                  <xdr:nvSpPr>
                    <xdr:cNvPr id="161" name="Rectángulo 160">
                      <a:extLst>
                        <a:ext uri="{FF2B5EF4-FFF2-40B4-BE49-F238E27FC236}">
                          <a16:creationId xmlns:a16="http://schemas.microsoft.com/office/drawing/2014/main" id="{00000000-0008-0000-0900-0000A1000000}"/>
                        </a:ext>
                      </a:extLst>
                    </xdr:cNvPr>
                    <xdr:cNvSpPr/>
                  </xdr:nvSpPr>
                  <xdr:spPr>
                    <a:xfrm>
                      <a:off x="8371601" y="1356056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ED8739-23E1-427F-B12C-06E95B1BB24C}" type="TxLink">
                        <a:rPr lang="en-US" sz="1100" b="1" i="0" u="none" strike="noStrike">
                          <a:solidFill>
                            <a:srgbClr val="FFFF00"/>
                          </a:solidFill>
                          <a:latin typeface="Century Gothic"/>
                        </a:rPr>
                        <a:pPr algn="ctr"/>
                        <a:t>2</a:t>
                      </a:fld>
                      <a:endParaRPr lang="es-CO" sz="2400" b="1">
                        <a:solidFill>
                          <a:srgbClr val="FFFF00"/>
                        </a:solidFill>
                      </a:endParaRPr>
                    </a:p>
                  </xdr:txBody>
                </xdr:sp>
                <xdr:sp macro="" textlink="$J$13">
                  <xdr:nvSpPr>
                    <xdr:cNvPr id="162" name="Rectángulo 161">
                      <a:extLst>
                        <a:ext uri="{FF2B5EF4-FFF2-40B4-BE49-F238E27FC236}">
                          <a16:creationId xmlns:a16="http://schemas.microsoft.com/office/drawing/2014/main" id="{00000000-0008-0000-0900-0000A2000000}"/>
                        </a:ext>
                      </a:extLst>
                    </xdr:cNvPr>
                    <xdr:cNvSpPr/>
                  </xdr:nvSpPr>
                  <xdr:spPr>
                    <a:xfrm>
                      <a:off x="8647695" y="135605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C5A287-A2C2-43F4-8A6F-5EA2E577CA93}" type="TxLink">
                        <a:rPr lang="en-US" sz="1100" b="1" i="0" u="none" strike="noStrike">
                          <a:solidFill>
                            <a:srgbClr val="FFFF00"/>
                          </a:solidFill>
                          <a:latin typeface="Century Gothic"/>
                        </a:rPr>
                        <a:pPr algn="ctr"/>
                        <a:t>5</a:t>
                      </a:fld>
                      <a:endParaRPr lang="es-CO" sz="2400" b="1">
                        <a:solidFill>
                          <a:srgbClr val="FFFF00"/>
                        </a:solidFill>
                      </a:endParaRPr>
                    </a:p>
                  </xdr:txBody>
                </xdr:sp>
                <xdr:sp macro="" textlink="">
                  <xdr:nvSpPr>
                    <xdr:cNvPr id="163" name="CuadroTexto 162">
                      <a:extLst>
                        <a:ext uri="{FF2B5EF4-FFF2-40B4-BE49-F238E27FC236}">
                          <a16:creationId xmlns:a16="http://schemas.microsoft.com/office/drawing/2014/main" id="{00000000-0008-0000-0900-0000A3000000}"/>
                        </a:ext>
                      </a:extLst>
                    </xdr:cNvPr>
                    <xdr:cNvSpPr txBox="1"/>
                  </xdr:nvSpPr>
                  <xdr:spPr>
                    <a:xfrm>
                      <a:off x="8330530" y="135643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5" name="Grupo 104">
                  <a:extLst>
                    <a:ext uri="{FF2B5EF4-FFF2-40B4-BE49-F238E27FC236}">
                      <a16:creationId xmlns:a16="http://schemas.microsoft.com/office/drawing/2014/main" id="{00000000-0008-0000-0900-000069000000}"/>
                    </a:ext>
                  </a:extLst>
                </xdr:cNvPr>
                <xdr:cNvGrpSpPr/>
              </xdr:nvGrpSpPr>
              <xdr:grpSpPr>
                <a:xfrm>
                  <a:off x="8986712" y="13100930"/>
                  <a:ext cx="2173581" cy="728022"/>
                  <a:chOff x="8986712" y="13100930"/>
                  <a:chExt cx="2173581" cy="728022"/>
                </a:xfrm>
              </xdr:grpSpPr>
              <xdr:grpSp>
                <xdr:nvGrpSpPr>
                  <xdr:cNvPr id="151" name="Grupo 150">
                    <a:extLst>
                      <a:ext uri="{FF2B5EF4-FFF2-40B4-BE49-F238E27FC236}">
                        <a16:creationId xmlns:a16="http://schemas.microsoft.com/office/drawing/2014/main" id="{00000000-0008-0000-0900-000097000000}"/>
                      </a:ext>
                    </a:extLst>
                  </xdr:cNvPr>
                  <xdr:cNvGrpSpPr/>
                </xdr:nvGrpSpPr>
                <xdr:grpSpPr>
                  <a:xfrm>
                    <a:off x="8986712" y="13100930"/>
                    <a:ext cx="2173581" cy="720000"/>
                    <a:chOff x="28678271" y="2081892"/>
                    <a:chExt cx="2012823" cy="585107"/>
                  </a:xfrm>
                </xdr:grpSpPr>
                <xdr:sp macro="" textlink="">
                  <xdr:nvSpPr>
                    <xdr:cNvPr id="156" name="Cheurón 155">
                      <a:extLst>
                        <a:ext uri="{FF2B5EF4-FFF2-40B4-BE49-F238E27FC236}">
                          <a16:creationId xmlns:a16="http://schemas.microsoft.com/office/drawing/2014/main" id="{00000000-0008-0000-0900-00009C000000}"/>
                        </a:ext>
                      </a:extLst>
                    </xdr:cNvPr>
                    <xdr:cNvSpPr/>
                  </xdr:nvSpPr>
                  <xdr:spPr>
                    <a:xfrm>
                      <a:off x="2867827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57" name="CuadroTexto 156">
                      <a:extLst>
                        <a:ext uri="{FF2B5EF4-FFF2-40B4-BE49-F238E27FC236}">
                          <a16:creationId xmlns:a16="http://schemas.microsoft.com/office/drawing/2014/main" id="{00000000-0008-0000-0900-00009D000000}"/>
                        </a:ext>
                      </a:extLst>
                    </xdr:cNvPr>
                    <xdr:cNvSpPr txBox="1"/>
                  </xdr:nvSpPr>
                  <xdr:spPr>
                    <a:xfrm>
                      <a:off x="28906408" y="2166613"/>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S$14">
                  <xdr:nvSpPr>
                    <xdr:cNvPr id="158" name="Rectángulo redondeado 157">
                      <a:extLst>
                        <a:ext uri="{FF2B5EF4-FFF2-40B4-BE49-F238E27FC236}">
                          <a16:creationId xmlns:a16="http://schemas.microsoft.com/office/drawing/2014/main" id="{00000000-0008-0000-0900-00009E000000}"/>
                        </a:ext>
                      </a:extLst>
                    </xdr:cNvPr>
                    <xdr:cNvSpPr/>
                  </xdr:nvSpPr>
                  <xdr:spPr>
                    <a:xfrm>
                      <a:off x="29824320"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F3AC10-9984-42F8-9A01-BE32B94A9C65}"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52" name="Grupo 151">
                    <a:extLst>
                      <a:ext uri="{FF2B5EF4-FFF2-40B4-BE49-F238E27FC236}">
                        <a16:creationId xmlns:a16="http://schemas.microsoft.com/office/drawing/2014/main" id="{00000000-0008-0000-0900-000098000000}"/>
                      </a:ext>
                    </a:extLst>
                  </xdr:cNvPr>
                  <xdr:cNvGrpSpPr/>
                </xdr:nvGrpSpPr>
                <xdr:grpSpPr>
                  <a:xfrm>
                    <a:off x="10230583" y="13541544"/>
                    <a:ext cx="770852" cy="287408"/>
                    <a:chOff x="10230583" y="13541544"/>
                    <a:chExt cx="770852" cy="287408"/>
                  </a:xfrm>
                </xdr:grpSpPr>
                <xdr:sp macro="" textlink="$K$14">
                  <xdr:nvSpPr>
                    <xdr:cNvPr id="153" name="Rectángulo 152">
                      <a:extLst>
                        <a:ext uri="{FF2B5EF4-FFF2-40B4-BE49-F238E27FC236}">
                          <a16:creationId xmlns:a16="http://schemas.microsoft.com/office/drawing/2014/main" id="{00000000-0008-0000-0900-000099000000}"/>
                        </a:ext>
                      </a:extLst>
                    </xdr:cNvPr>
                    <xdr:cNvSpPr/>
                  </xdr:nvSpPr>
                  <xdr:spPr>
                    <a:xfrm>
                      <a:off x="10243446"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8B233F-90EE-4133-A7F7-3D32A5F47C51}" type="TxLink">
                        <a:rPr lang="en-US" sz="1100" b="1" i="0" u="none" strike="noStrike">
                          <a:solidFill>
                            <a:srgbClr val="FFFF00"/>
                          </a:solidFill>
                          <a:latin typeface="Century Gothic"/>
                        </a:rPr>
                        <a:pPr algn="ctr"/>
                        <a:t>2</a:t>
                      </a:fld>
                      <a:endParaRPr lang="es-CO" sz="2800" b="1">
                        <a:solidFill>
                          <a:srgbClr val="FFFF00"/>
                        </a:solidFill>
                      </a:endParaRPr>
                    </a:p>
                  </xdr:txBody>
                </xdr:sp>
                <xdr:sp macro="" textlink="$J$14">
                  <xdr:nvSpPr>
                    <xdr:cNvPr id="154" name="Rectángulo 153">
                      <a:extLst>
                        <a:ext uri="{FF2B5EF4-FFF2-40B4-BE49-F238E27FC236}">
                          <a16:creationId xmlns:a16="http://schemas.microsoft.com/office/drawing/2014/main" id="{00000000-0008-0000-0900-00009A000000}"/>
                        </a:ext>
                      </a:extLst>
                    </xdr:cNvPr>
                    <xdr:cNvSpPr/>
                  </xdr:nvSpPr>
                  <xdr:spPr>
                    <a:xfrm>
                      <a:off x="10545523"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668F58C-15F1-4CB0-BF63-895BE213D47D}" type="TxLink">
                        <a:rPr lang="en-US" sz="1100" b="1" i="0" u="none" strike="noStrike">
                          <a:solidFill>
                            <a:srgbClr val="FFFF00"/>
                          </a:solidFill>
                          <a:latin typeface="Century Gothic"/>
                        </a:rPr>
                        <a:pPr algn="ctr"/>
                        <a:t>2</a:t>
                      </a:fld>
                      <a:endParaRPr lang="es-CO" sz="2800" b="1">
                        <a:solidFill>
                          <a:srgbClr val="FFFF00"/>
                        </a:solidFill>
                      </a:endParaRPr>
                    </a:p>
                  </xdr:txBody>
                </xdr:sp>
                <xdr:sp macro="" textlink="">
                  <xdr:nvSpPr>
                    <xdr:cNvPr id="155" name="CuadroTexto 154">
                      <a:extLst>
                        <a:ext uri="{FF2B5EF4-FFF2-40B4-BE49-F238E27FC236}">
                          <a16:creationId xmlns:a16="http://schemas.microsoft.com/office/drawing/2014/main" id="{00000000-0008-0000-0900-00009B000000}"/>
                        </a:ext>
                      </a:extLst>
                    </xdr:cNvPr>
                    <xdr:cNvSpPr txBox="1"/>
                  </xdr:nvSpPr>
                  <xdr:spPr>
                    <a:xfrm>
                      <a:off x="10230583" y="1354154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6" name="Grupo 105">
                  <a:extLst>
                    <a:ext uri="{FF2B5EF4-FFF2-40B4-BE49-F238E27FC236}">
                      <a16:creationId xmlns:a16="http://schemas.microsoft.com/office/drawing/2014/main" id="{00000000-0008-0000-0900-00006A000000}"/>
                    </a:ext>
                  </a:extLst>
                </xdr:cNvPr>
                <xdr:cNvGrpSpPr/>
              </xdr:nvGrpSpPr>
              <xdr:grpSpPr>
                <a:xfrm>
                  <a:off x="1254624" y="13881976"/>
                  <a:ext cx="2195845" cy="725301"/>
                  <a:chOff x="1254624" y="13881976"/>
                  <a:chExt cx="2195845" cy="725301"/>
                </a:xfrm>
              </xdr:grpSpPr>
              <xdr:grpSp>
                <xdr:nvGrpSpPr>
                  <xdr:cNvPr id="143" name="Grupo 142">
                    <a:extLst>
                      <a:ext uri="{FF2B5EF4-FFF2-40B4-BE49-F238E27FC236}">
                        <a16:creationId xmlns:a16="http://schemas.microsoft.com/office/drawing/2014/main" id="{00000000-0008-0000-0900-00008F000000}"/>
                      </a:ext>
                    </a:extLst>
                  </xdr:cNvPr>
                  <xdr:cNvGrpSpPr/>
                </xdr:nvGrpSpPr>
                <xdr:grpSpPr>
                  <a:xfrm>
                    <a:off x="1254624" y="13881976"/>
                    <a:ext cx="2195845" cy="720000"/>
                    <a:chOff x="28670251" y="2081892"/>
                    <a:chExt cx="2033441" cy="585107"/>
                  </a:xfrm>
                </xdr:grpSpPr>
                <xdr:sp macro="" textlink="">
                  <xdr:nvSpPr>
                    <xdr:cNvPr id="148" name="Cheurón 147">
                      <a:extLst>
                        <a:ext uri="{FF2B5EF4-FFF2-40B4-BE49-F238E27FC236}">
                          <a16:creationId xmlns:a16="http://schemas.microsoft.com/office/drawing/2014/main" id="{00000000-0008-0000-0900-000094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49" name="CuadroTexto 148">
                      <a:extLst>
                        <a:ext uri="{FF2B5EF4-FFF2-40B4-BE49-F238E27FC236}">
                          <a16:creationId xmlns:a16="http://schemas.microsoft.com/office/drawing/2014/main" id="{00000000-0008-0000-0900-000095000000}"/>
                        </a:ext>
                      </a:extLst>
                    </xdr:cNvPr>
                    <xdr:cNvSpPr txBox="1"/>
                  </xdr:nvSpPr>
                  <xdr:spPr>
                    <a:xfrm>
                      <a:off x="28887716" y="2115280"/>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S$15">
                  <xdr:nvSpPr>
                    <xdr:cNvPr id="150" name="Rectángulo redondeado 149">
                      <a:extLst>
                        <a:ext uri="{FF2B5EF4-FFF2-40B4-BE49-F238E27FC236}">
                          <a16:creationId xmlns:a16="http://schemas.microsoft.com/office/drawing/2014/main" id="{00000000-0008-0000-0900-000096000000}"/>
                        </a:ext>
                      </a:extLst>
                    </xdr:cNvPr>
                    <xdr:cNvSpPr/>
                  </xdr:nvSpPr>
                  <xdr:spPr>
                    <a:xfrm>
                      <a:off x="29836918" y="215757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B70F24-3597-455E-9881-9F670DB698A4}"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44" name="Grupo 143">
                    <a:extLst>
                      <a:ext uri="{FF2B5EF4-FFF2-40B4-BE49-F238E27FC236}">
                        <a16:creationId xmlns:a16="http://schemas.microsoft.com/office/drawing/2014/main" id="{00000000-0008-0000-0900-000090000000}"/>
                      </a:ext>
                    </a:extLst>
                  </xdr:cNvPr>
                  <xdr:cNvGrpSpPr/>
                </xdr:nvGrpSpPr>
                <xdr:grpSpPr>
                  <a:xfrm>
                    <a:off x="2520280" y="14325654"/>
                    <a:ext cx="770852" cy="281623"/>
                    <a:chOff x="2520280" y="14325654"/>
                    <a:chExt cx="770852" cy="281623"/>
                  </a:xfrm>
                </xdr:grpSpPr>
                <xdr:sp macro="" textlink="$K$15">
                  <xdr:nvSpPr>
                    <xdr:cNvPr id="145" name="Rectángulo 144">
                      <a:extLst>
                        <a:ext uri="{FF2B5EF4-FFF2-40B4-BE49-F238E27FC236}">
                          <a16:creationId xmlns:a16="http://schemas.microsoft.com/office/drawing/2014/main" id="{00000000-0008-0000-0900-000091000000}"/>
                        </a:ext>
                      </a:extLst>
                    </xdr:cNvPr>
                    <xdr:cNvSpPr/>
                  </xdr:nvSpPr>
                  <xdr:spPr>
                    <a:xfrm>
                      <a:off x="2544545"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52C3B7-84F3-4306-9F51-94264694E69F}" type="TxLink">
                        <a:rPr lang="en-US" sz="1100" b="1" i="0" u="none" strike="noStrike">
                          <a:solidFill>
                            <a:srgbClr val="FFFF00"/>
                          </a:solidFill>
                          <a:latin typeface="Century Gothic"/>
                        </a:rPr>
                        <a:pPr algn="ctr"/>
                        <a:t>2</a:t>
                      </a:fld>
                      <a:endParaRPr lang="es-CO" sz="3200" b="1">
                        <a:solidFill>
                          <a:srgbClr val="FFFF00"/>
                        </a:solidFill>
                      </a:endParaRPr>
                    </a:p>
                  </xdr:txBody>
                </xdr:sp>
                <xdr:sp macro="" textlink="$J$15">
                  <xdr:nvSpPr>
                    <xdr:cNvPr id="146" name="Rectángulo 145">
                      <a:extLst>
                        <a:ext uri="{FF2B5EF4-FFF2-40B4-BE49-F238E27FC236}">
                          <a16:creationId xmlns:a16="http://schemas.microsoft.com/office/drawing/2014/main" id="{00000000-0008-0000-0900-000092000000}"/>
                        </a:ext>
                      </a:extLst>
                    </xdr:cNvPr>
                    <xdr:cNvSpPr/>
                  </xdr:nvSpPr>
                  <xdr:spPr>
                    <a:xfrm>
                      <a:off x="2820639"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EA17CCE-9AE6-4CFC-AAE5-A1867B0BD6C0}" type="TxLink">
                        <a:rPr lang="en-US" sz="1100" b="1" i="0" u="none" strike="noStrike">
                          <a:solidFill>
                            <a:srgbClr val="FFFF00"/>
                          </a:solidFill>
                          <a:latin typeface="Century Gothic"/>
                        </a:rPr>
                        <a:pPr algn="ctr"/>
                        <a:t>2</a:t>
                      </a:fld>
                      <a:endParaRPr lang="es-CO" sz="3200" b="1">
                        <a:solidFill>
                          <a:srgbClr val="FFFF00"/>
                        </a:solidFill>
                      </a:endParaRPr>
                    </a:p>
                  </xdr:txBody>
                </xdr:sp>
                <xdr:sp macro="" textlink="">
                  <xdr:nvSpPr>
                    <xdr:cNvPr id="147" name="CuadroTexto 146">
                      <a:extLst>
                        <a:ext uri="{FF2B5EF4-FFF2-40B4-BE49-F238E27FC236}">
                          <a16:creationId xmlns:a16="http://schemas.microsoft.com/office/drawing/2014/main" id="{00000000-0008-0000-0900-000093000000}"/>
                        </a:ext>
                      </a:extLst>
                    </xdr:cNvPr>
                    <xdr:cNvSpPr txBox="1"/>
                  </xdr:nvSpPr>
                  <xdr:spPr>
                    <a:xfrm>
                      <a:off x="2520280" y="143256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7" name="Grupo 106">
                  <a:extLst>
                    <a:ext uri="{FF2B5EF4-FFF2-40B4-BE49-F238E27FC236}">
                      <a16:creationId xmlns:a16="http://schemas.microsoft.com/office/drawing/2014/main" id="{00000000-0008-0000-0900-00006B000000}"/>
                    </a:ext>
                  </a:extLst>
                </xdr:cNvPr>
                <xdr:cNvGrpSpPr/>
              </xdr:nvGrpSpPr>
              <xdr:grpSpPr>
                <a:xfrm>
                  <a:off x="3216828" y="13884699"/>
                  <a:ext cx="2168636" cy="720000"/>
                  <a:chOff x="3216828" y="13884699"/>
                  <a:chExt cx="2168636" cy="720000"/>
                </a:xfrm>
              </xdr:grpSpPr>
              <xdr:grpSp>
                <xdr:nvGrpSpPr>
                  <xdr:cNvPr id="135" name="Grupo 134">
                    <a:extLst>
                      <a:ext uri="{FF2B5EF4-FFF2-40B4-BE49-F238E27FC236}">
                        <a16:creationId xmlns:a16="http://schemas.microsoft.com/office/drawing/2014/main" id="{00000000-0008-0000-0900-000087000000}"/>
                      </a:ext>
                    </a:extLst>
                  </xdr:cNvPr>
                  <xdr:cNvGrpSpPr/>
                </xdr:nvGrpSpPr>
                <xdr:grpSpPr>
                  <a:xfrm>
                    <a:off x="3216828" y="13884699"/>
                    <a:ext cx="2168636" cy="720000"/>
                    <a:chOff x="28670251" y="2081892"/>
                    <a:chExt cx="2008241" cy="585107"/>
                  </a:xfrm>
                </xdr:grpSpPr>
                <xdr:sp macro="" textlink="">
                  <xdr:nvSpPr>
                    <xdr:cNvPr id="140" name="Cheurón 139">
                      <a:extLst>
                        <a:ext uri="{FF2B5EF4-FFF2-40B4-BE49-F238E27FC236}">
                          <a16:creationId xmlns:a16="http://schemas.microsoft.com/office/drawing/2014/main" id="{00000000-0008-0000-0900-00008C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41" name="CuadroTexto 140">
                      <a:extLst>
                        <a:ext uri="{FF2B5EF4-FFF2-40B4-BE49-F238E27FC236}">
                          <a16:creationId xmlns:a16="http://schemas.microsoft.com/office/drawing/2014/main" id="{00000000-0008-0000-0900-00008D000000}"/>
                        </a:ext>
                      </a:extLst>
                    </xdr:cNvPr>
                    <xdr:cNvSpPr txBox="1"/>
                  </xdr:nvSpPr>
                  <xdr:spPr>
                    <a:xfrm>
                      <a:off x="28828294" y="2115280"/>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S$16">
                  <xdr:nvSpPr>
                    <xdr:cNvPr id="142" name="Rectángulo redondeado 141">
                      <a:extLst>
                        <a:ext uri="{FF2B5EF4-FFF2-40B4-BE49-F238E27FC236}">
                          <a16:creationId xmlns:a16="http://schemas.microsoft.com/office/drawing/2014/main" id="{00000000-0008-0000-0900-00008E000000}"/>
                        </a:ext>
                      </a:extLst>
                    </xdr:cNvPr>
                    <xdr:cNvSpPr/>
                  </xdr:nvSpPr>
                  <xdr:spPr>
                    <a:xfrm>
                      <a:off x="29811719"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F4CC68A-A8B4-405E-BE31-4D0AEC471047}"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36" name="Grupo 135">
                    <a:extLst>
                      <a:ext uri="{FF2B5EF4-FFF2-40B4-BE49-F238E27FC236}">
                        <a16:creationId xmlns:a16="http://schemas.microsoft.com/office/drawing/2014/main" id="{00000000-0008-0000-0900-000088000000}"/>
                      </a:ext>
                    </a:extLst>
                  </xdr:cNvPr>
                  <xdr:cNvGrpSpPr/>
                </xdr:nvGrpSpPr>
                <xdr:grpSpPr>
                  <a:xfrm>
                    <a:off x="4471046" y="14320548"/>
                    <a:ext cx="770852" cy="275845"/>
                    <a:chOff x="4471046" y="14320548"/>
                    <a:chExt cx="770852" cy="275845"/>
                  </a:xfrm>
                </xdr:grpSpPr>
                <xdr:sp macro="" textlink="$K$16">
                  <xdr:nvSpPr>
                    <xdr:cNvPr id="137" name="Rectángulo 136">
                      <a:extLst>
                        <a:ext uri="{FF2B5EF4-FFF2-40B4-BE49-F238E27FC236}">
                          <a16:creationId xmlns:a16="http://schemas.microsoft.com/office/drawing/2014/main" id="{00000000-0008-0000-0900-000089000000}"/>
                        </a:ext>
                      </a:extLst>
                    </xdr:cNvPr>
                    <xdr:cNvSpPr/>
                  </xdr:nvSpPr>
                  <xdr:spPr>
                    <a:xfrm>
                      <a:off x="4506693"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819823D-1A0E-43F1-92E4-21360E255D2E}" type="TxLink">
                        <a:rPr lang="en-US" sz="1100" b="1" i="0" u="none" strike="noStrike">
                          <a:solidFill>
                            <a:srgbClr val="FFFF00"/>
                          </a:solidFill>
                          <a:latin typeface="Century Gothic"/>
                        </a:rPr>
                        <a:pPr algn="ctr"/>
                        <a:t>1</a:t>
                      </a:fld>
                      <a:endParaRPr lang="es-CO" sz="3600" b="1">
                        <a:solidFill>
                          <a:srgbClr val="FFFF00"/>
                        </a:solidFill>
                      </a:endParaRPr>
                    </a:p>
                  </xdr:txBody>
                </xdr:sp>
                <xdr:sp macro="" textlink="$J$16">
                  <xdr:nvSpPr>
                    <xdr:cNvPr id="138" name="Rectángulo 137">
                      <a:extLst>
                        <a:ext uri="{FF2B5EF4-FFF2-40B4-BE49-F238E27FC236}">
                          <a16:creationId xmlns:a16="http://schemas.microsoft.com/office/drawing/2014/main" id="{00000000-0008-0000-0900-00008A000000}"/>
                        </a:ext>
                      </a:extLst>
                    </xdr:cNvPr>
                    <xdr:cNvSpPr/>
                  </xdr:nvSpPr>
                  <xdr:spPr>
                    <a:xfrm>
                      <a:off x="4782787"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9A0D945-88E7-4826-936C-0D30BB0A8EAF}" type="TxLink">
                        <a:rPr lang="en-US" sz="1100" b="1" i="0" u="none" strike="noStrike">
                          <a:solidFill>
                            <a:srgbClr val="FFFF00"/>
                          </a:solidFill>
                          <a:latin typeface="Century Gothic"/>
                        </a:rPr>
                        <a:pPr algn="ctr"/>
                        <a:t>1</a:t>
                      </a:fld>
                      <a:endParaRPr lang="es-CO" sz="3600" b="1">
                        <a:solidFill>
                          <a:srgbClr val="FFFF00"/>
                        </a:solidFill>
                      </a:endParaRPr>
                    </a:p>
                  </xdr:txBody>
                </xdr:sp>
                <xdr:sp macro="" textlink="">
                  <xdr:nvSpPr>
                    <xdr:cNvPr id="139" name="CuadroTexto 138">
                      <a:extLst>
                        <a:ext uri="{FF2B5EF4-FFF2-40B4-BE49-F238E27FC236}">
                          <a16:creationId xmlns:a16="http://schemas.microsoft.com/office/drawing/2014/main" id="{00000000-0008-0000-0900-00008B000000}"/>
                        </a:ext>
                      </a:extLst>
                    </xdr:cNvPr>
                    <xdr:cNvSpPr txBox="1"/>
                  </xdr:nvSpPr>
                  <xdr:spPr>
                    <a:xfrm>
                      <a:off x="4471046" y="1432054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8" name="Grupo 107">
                  <a:extLst>
                    <a:ext uri="{FF2B5EF4-FFF2-40B4-BE49-F238E27FC236}">
                      <a16:creationId xmlns:a16="http://schemas.microsoft.com/office/drawing/2014/main" id="{00000000-0008-0000-0900-00006C000000}"/>
                    </a:ext>
                  </a:extLst>
                </xdr:cNvPr>
                <xdr:cNvGrpSpPr/>
              </xdr:nvGrpSpPr>
              <xdr:grpSpPr>
                <a:xfrm>
                  <a:off x="5165316" y="13873815"/>
                  <a:ext cx="2195847" cy="725301"/>
                  <a:chOff x="5165316" y="13873815"/>
                  <a:chExt cx="2195847" cy="725301"/>
                </a:xfrm>
              </xdr:grpSpPr>
              <xdr:grpSp>
                <xdr:nvGrpSpPr>
                  <xdr:cNvPr id="127" name="Grupo 126">
                    <a:extLst>
                      <a:ext uri="{FF2B5EF4-FFF2-40B4-BE49-F238E27FC236}">
                        <a16:creationId xmlns:a16="http://schemas.microsoft.com/office/drawing/2014/main" id="{00000000-0008-0000-0900-00007F000000}"/>
                      </a:ext>
                    </a:extLst>
                  </xdr:cNvPr>
                  <xdr:cNvGrpSpPr/>
                </xdr:nvGrpSpPr>
                <xdr:grpSpPr>
                  <a:xfrm>
                    <a:off x="5165316" y="13873815"/>
                    <a:ext cx="2195847" cy="720000"/>
                    <a:chOff x="28670251" y="2081892"/>
                    <a:chExt cx="2033443" cy="585107"/>
                  </a:xfrm>
                </xdr:grpSpPr>
                <xdr:sp macro="" textlink="">
                  <xdr:nvSpPr>
                    <xdr:cNvPr id="132" name="Cheurón 131">
                      <a:extLst>
                        <a:ext uri="{FF2B5EF4-FFF2-40B4-BE49-F238E27FC236}">
                          <a16:creationId xmlns:a16="http://schemas.microsoft.com/office/drawing/2014/main" id="{00000000-0008-0000-0900-000084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33" name="CuadroTexto 132">
                      <a:extLst>
                        <a:ext uri="{FF2B5EF4-FFF2-40B4-BE49-F238E27FC236}">
                          <a16:creationId xmlns:a16="http://schemas.microsoft.com/office/drawing/2014/main" id="{00000000-0008-0000-0900-000085000000}"/>
                        </a:ext>
                      </a:extLst>
                    </xdr:cNvPr>
                    <xdr:cNvSpPr txBox="1"/>
                  </xdr:nvSpPr>
                  <xdr:spPr>
                    <a:xfrm>
                      <a:off x="28808668" y="2126338"/>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S$17">
                  <xdr:nvSpPr>
                    <xdr:cNvPr id="134" name="Rectángulo redondeado 133">
                      <a:extLst>
                        <a:ext uri="{FF2B5EF4-FFF2-40B4-BE49-F238E27FC236}">
                          <a16:creationId xmlns:a16="http://schemas.microsoft.com/office/drawing/2014/main" id="{00000000-0008-0000-0900-000086000000}"/>
                        </a:ext>
                      </a:extLst>
                    </xdr:cNvPr>
                    <xdr:cNvSpPr/>
                  </xdr:nvSpPr>
                  <xdr:spPr>
                    <a:xfrm>
                      <a:off x="29836919"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4DBF16E-EF0C-4682-AF2E-12DBDA345092}" type="TxLink">
                        <a:rPr lang="en-US" sz="1600" b="1" i="0" u="none" strike="noStrike">
                          <a:solidFill>
                            <a:srgbClr val="FFFF00"/>
                          </a:solidFill>
                          <a:latin typeface="Century Gothic"/>
                        </a:rPr>
                        <a:pPr algn="ctr"/>
                        <a:t>50,0%</a:t>
                      </a:fld>
                      <a:endParaRPr lang="es-CO" sz="1800">
                        <a:solidFill>
                          <a:srgbClr val="FFFF00"/>
                        </a:solidFill>
                      </a:endParaRPr>
                    </a:p>
                  </xdr:txBody>
                </xdr:sp>
              </xdr:grpSp>
              <xdr:grpSp>
                <xdr:nvGrpSpPr>
                  <xdr:cNvPr id="128" name="Grupo 127">
                    <a:extLst>
                      <a:ext uri="{FF2B5EF4-FFF2-40B4-BE49-F238E27FC236}">
                        <a16:creationId xmlns:a16="http://schemas.microsoft.com/office/drawing/2014/main" id="{00000000-0008-0000-0900-000080000000}"/>
                      </a:ext>
                    </a:extLst>
                  </xdr:cNvPr>
                  <xdr:cNvGrpSpPr/>
                </xdr:nvGrpSpPr>
                <xdr:grpSpPr>
                  <a:xfrm>
                    <a:off x="6452743" y="14320549"/>
                    <a:ext cx="770852" cy="278567"/>
                    <a:chOff x="6452743" y="14320549"/>
                    <a:chExt cx="770852" cy="278567"/>
                  </a:xfrm>
                </xdr:grpSpPr>
                <xdr:sp macro="" textlink="$K$17">
                  <xdr:nvSpPr>
                    <xdr:cNvPr id="129" name="Rectángulo 128">
                      <a:extLst>
                        <a:ext uri="{FF2B5EF4-FFF2-40B4-BE49-F238E27FC236}">
                          <a16:creationId xmlns:a16="http://schemas.microsoft.com/office/drawing/2014/main" id="{00000000-0008-0000-0900-000081000000}"/>
                        </a:ext>
                      </a:extLst>
                    </xdr:cNvPr>
                    <xdr:cNvSpPr/>
                  </xdr:nvSpPr>
                  <xdr:spPr>
                    <a:xfrm>
                      <a:off x="6482448"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114EA6-0E3F-4548-AD48-0C289838D0FE}" type="TxLink">
                        <a:rPr lang="en-US" sz="1100" b="1" i="0" u="none" strike="noStrike">
                          <a:solidFill>
                            <a:srgbClr val="FFFF00"/>
                          </a:solidFill>
                          <a:latin typeface="Century Gothic"/>
                        </a:rPr>
                        <a:pPr algn="ctr"/>
                        <a:t>2</a:t>
                      </a:fld>
                      <a:endParaRPr lang="es-CO" sz="4000" b="1">
                        <a:solidFill>
                          <a:srgbClr val="FFFF00"/>
                        </a:solidFill>
                      </a:endParaRPr>
                    </a:p>
                  </xdr:txBody>
                </xdr:sp>
                <xdr:sp macro="" textlink="$J$17">
                  <xdr:nvSpPr>
                    <xdr:cNvPr id="130" name="Rectángulo 129">
                      <a:extLst>
                        <a:ext uri="{FF2B5EF4-FFF2-40B4-BE49-F238E27FC236}">
                          <a16:creationId xmlns:a16="http://schemas.microsoft.com/office/drawing/2014/main" id="{00000000-0008-0000-0900-000082000000}"/>
                        </a:ext>
                      </a:extLst>
                    </xdr:cNvPr>
                    <xdr:cNvSpPr/>
                  </xdr:nvSpPr>
                  <xdr:spPr>
                    <a:xfrm>
                      <a:off x="6758543"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C4A922-5423-4A04-B932-B03DC46BD7A4}" type="TxLink">
                        <a:rPr lang="en-US" sz="1100" b="1" i="0" u="none" strike="noStrike">
                          <a:solidFill>
                            <a:srgbClr val="FFFF00"/>
                          </a:solidFill>
                          <a:latin typeface="Century Gothic"/>
                        </a:rPr>
                        <a:pPr algn="ctr"/>
                        <a:t>4</a:t>
                      </a:fld>
                      <a:endParaRPr lang="es-CO" sz="4000" b="1">
                        <a:solidFill>
                          <a:srgbClr val="FFFF00"/>
                        </a:solidFill>
                      </a:endParaRPr>
                    </a:p>
                  </xdr:txBody>
                </xdr:sp>
                <xdr:sp macro="" textlink="">
                  <xdr:nvSpPr>
                    <xdr:cNvPr id="131" name="CuadroTexto 130">
                      <a:extLst>
                        <a:ext uri="{FF2B5EF4-FFF2-40B4-BE49-F238E27FC236}">
                          <a16:creationId xmlns:a16="http://schemas.microsoft.com/office/drawing/2014/main" id="{00000000-0008-0000-0900-000083000000}"/>
                        </a:ext>
                      </a:extLst>
                    </xdr:cNvPr>
                    <xdr:cNvSpPr txBox="1"/>
                  </xdr:nvSpPr>
                  <xdr:spPr>
                    <a:xfrm>
                      <a:off x="6452743" y="143205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09" name="Grupo 108">
                  <a:extLst>
                    <a:ext uri="{FF2B5EF4-FFF2-40B4-BE49-F238E27FC236}">
                      <a16:creationId xmlns:a16="http://schemas.microsoft.com/office/drawing/2014/main" id="{00000000-0008-0000-0900-00006D000000}"/>
                    </a:ext>
                  </a:extLst>
                </xdr:cNvPr>
                <xdr:cNvGrpSpPr/>
              </xdr:nvGrpSpPr>
              <xdr:grpSpPr>
                <a:xfrm>
                  <a:off x="7113849" y="13876538"/>
                  <a:ext cx="2116806" cy="725301"/>
                  <a:chOff x="7113849" y="13876538"/>
                  <a:chExt cx="2116806" cy="725301"/>
                </a:xfrm>
              </xdr:grpSpPr>
              <xdr:grpSp>
                <xdr:nvGrpSpPr>
                  <xdr:cNvPr id="119" name="Grupo 118">
                    <a:extLst>
                      <a:ext uri="{FF2B5EF4-FFF2-40B4-BE49-F238E27FC236}">
                        <a16:creationId xmlns:a16="http://schemas.microsoft.com/office/drawing/2014/main" id="{00000000-0008-0000-0900-000077000000}"/>
                      </a:ext>
                    </a:extLst>
                  </xdr:cNvPr>
                  <xdr:cNvGrpSpPr/>
                </xdr:nvGrpSpPr>
                <xdr:grpSpPr>
                  <a:xfrm>
                    <a:off x="7113849" y="13876538"/>
                    <a:ext cx="2116806" cy="720000"/>
                    <a:chOff x="28670251" y="2081892"/>
                    <a:chExt cx="2000250" cy="585107"/>
                  </a:xfrm>
                </xdr:grpSpPr>
                <xdr:sp macro="" textlink="">
                  <xdr:nvSpPr>
                    <xdr:cNvPr id="124" name="Cheurón 123">
                      <a:extLst>
                        <a:ext uri="{FF2B5EF4-FFF2-40B4-BE49-F238E27FC236}">
                          <a16:creationId xmlns:a16="http://schemas.microsoft.com/office/drawing/2014/main" id="{00000000-0008-0000-0900-00007C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25" name="CuadroTexto 124">
                      <a:extLst>
                        <a:ext uri="{FF2B5EF4-FFF2-40B4-BE49-F238E27FC236}">
                          <a16:creationId xmlns:a16="http://schemas.microsoft.com/office/drawing/2014/main" id="{00000000-0008-0000-0900-00007D000000}"/>
                        </a:ext>
                      </a:extLst>
                    </xdr:cNvPr>
                    <xdr:cNvSpPr txBox="1"/>
                  </xdr:nvSpPr>
                  <xdr:spPr>
                    <a:xfrm>
                      <a:off x="28928089" y="2122191"/>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S$18">
                  <xdr:nvSpPr>
                    <xdr:cNvPr id="126" name="Rectángulo redondeado 125">
                      <a:extLst>
                        <a:ext uri="{FF2B5EF4-FFF2-40B4-BE49-F238E27FC236}">
                          <a16:creationId xmlns:a16="http://schemas.microsoft.com/office/drawing/2014/main" id="{00000000-0008-0000-0900-00007E000000}"/>
                        </a:ext>
                      </a:extLst>
                    </xdr:cNvPr>
                    <xdr:cNvSpPr/>
                  </xdr:nvSpPr>
                  <xdr:spPr>
                    <a:xfrm>
                      <a:off x="29785163"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0EE6F0-D2BE-4C04-9381-5D073D7487E3}"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120" name="Grupo 119">
                    <a:extLst>
                      <a:ext uri="{FF2B5EF4-FFF2-40B4-BE49-F238E27FC236}">
                        <a16:creationId xmlns:a16="http://schemas.microsoft.com/office/drawing/2014/main" id="{00000000-0008-0000-0900-000078000000}"/>
                      </a:ext>
                    </a:extLst>
                  </xdr:cNvPr>
                  <xdr:cNvGrpSpPr/>
                </xdr:nvGrpSpPr>
                <xdr:grpSpPr>
                  <a:xfrm>
                    <a:off x="8340423" y="14317149"/>
                    <a:ext cx="770852" cy="284690"/>
                    <a:chOff x="8340423" y="14317149"/>
                    <a:chExt cx="770852" cy="284690"/>
                  </a:xfrm>
                </xdr:grpSpPr>
                <xdr:sp macro="" textlink="$K$18">
                  <xdr:nvSpPr>
                    <xdr:cNvPr id="121" name="Rectángulo 120">
                      <a:extLst>
                        <a:ext uri="{FF2B5EF4-FFF2-40B4-BE49-F238E27FC236}">
                          <a16:creationId xmlns:a16="http://schemas.microsoft.com/office/drawing/2014/main" id="{00000000-0008-0000-0900-000079000000}"/>
                        </a:ext>
                      </a:extLst>
                    </xdr:cNvPr>
                    <xdr:cNvSpPr/>
                  </xdr:nvSpPr>
                  <xdr:spPr>
                    <a:xfrm>
                      <a:off x="8376562"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D8FD84E-6AD1-441D-9077-365A42E29A77}"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18">
                  <xdr:nvSpPr>
                    <xdr:cNvPr id="122" name="Rectángulo 121">
                      <a:extLst>
                        <a:ext uri="{FF2B5EF4-FFF2-40B4-BE49-F238E27FC236}">
                          <a16:creationId xmlns:a16="http://schemas.microsoft.com/office/drawing/2014/main" id="{00000000-0008-0000-0900-00007A000000}"/>
                        </a:ext>
                      </a:extLst>
                    </xdr:cNvPr>
                    <xdr:cNvSpPr/>
                  </xdr:nvSpPr>
                  <xdr:spPr>
                    <a:xfrm>
                      <a:off x="8652656"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7161BF-A4B8-46D4-816A-C00E0D05AEA2}"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
                  <xdr:nvSpPr>
                    <xdr:cNvPr id="123" name="CuadroTexto 122">
                      <a:extLst>
                        <a:ext uri="{FF2B5EF4-FFF2-40B4-BE49-F238E27FC236}">
                          <a16:creationId xmlns:a16="http://schemas.microsoft.com/office/drawing/2014/main" id="{00000000-0008-0000-0900-00007B000000}"/>
                        </a:ext>
                      </a:extLst>
                    </xdr:cNvPr>
                    <xdr:cNvSpPr txBox="1"/>
                  </xdr:nvSpPr>
                  <xdr:spPr>
                    <a:xfrm>
                      <a:off x="8340423" y="143171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110" name="Grupo 109">
                  <a:extLst>
                    <a:ext uri="{FF2B5EF4-FFF2-40B4-BE49-F238E27FC236}">
                      <a16:creationId xmlns:a16="http://schemas.microsoft.com/office/drawing/2014/main" id="{00000000-0008-0000-0900-00006E000000}"/>
                    </a:ext>
                  </a:extLst>
                </xdr:cNvPr>
                <xdr:cNvGrpSpPr/>
              </xdr:nvGrpSpPr>
              <xdr:grpSpPr>
                <a:xfrm>
                  <a:off x="9030232" y="13879260"/>
                  <a:ext cx="2116806" cy="725302"/>
                  <a:chOff x="9030232" y="13879260"/>
                  <a:chExt cx="2116806" cy="725302"/>
                </a:xfrm>
              </xdr:grpSpPr>
              <xdr:grpSp>
                <xdr:nvGrpSpPr>
                  <xdr:cNvPr id="111" name="Grupo 110">
                    <a:extLst>
                      <a:ext uri="{FF2B5EF4-FFF2-40B4-BE49-F238E27FC236}">
                        <a16:creationId xmlns:a16="http://schemas.microsoft.com/office/drawing/2014/main" id="{00000000-0008-0000-0900-00006F000000}"/>
                      </a:ext>
                    </a:extLst>
                  </xdr:cNvPr>
                  <xdr:cNvGrpSpPr/>
                </xdr:nvGrpSpPr>
                <xdr:grpSpPr>
                  <a:xfrm>
                    <a:off x="9030232" y="13879260"/>
                    <a:ext cx="2116806" cy="720000"/>
                    <a:chOff x="28678435" y="2081892"/>
                    <a:chExt cx="2000250" cy="585107"/>
                  </a:xfrm>
                </xdr:grpSpPr>
                <xdr:sp macro="" textlink="">
                  <xdr:nvSpPr>
                    <xdr:cNvPr id="116" name="Cheurón 115">
                      <a:extLst>
                        <a:ext uri="{FF2B5EF4-FFF2-40B4-BE49-F238E27FC236}">
                          <a16:creationId xmlns:a16="http://schemas.microsoft.com/office/drawing/2014/main" id="{00000000-0008-0000-0900-000074000000}"/>
                        </a:ext>
                      </a:extLst>
                    </xdr:cNvPr>
                    <xdr:cNvSpPr/>
                  </xdr:nvSpPr>
                  <xdr:spPr>
                    <a:xfrm>
                      <a:off x="28678435"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17" name="CuadroTexto 116">
                      <a:extLst>
                        <a:ext uri="{FF2B5EF4-FFF2-40B4-BE49-F238E27FC236}">
                          <a16:creationId xmlns:a16="http://schemas.microsoft.com/office/drawing/2014/main" id="{00000000-0008-0000-0900-000075000000}"/>
                        </a:ext>
                      </a:extLst>
                    </xdr:cNvPr>
                    <xdr:cNvSpPr txBox="1"/>
                  </xdr:nvSpPr>
                  <xdr:spPr>
                    <a:xfrm>
                      <a:off x="28858849"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S$19">
                  <xdr:nvSpPr>
                    <xdr:cNvPr id="118" name="Rectángulo redondeado 117">
                      <a:extLst>
                        <a:ext uri="{FF2B5EF4-FFF2-40B4-BE49-F238E27FC236}">
                          <a16:creationId xmlns:a16="http://schemas.microsoft.com/office/drawing/2014/main" id="{00000000-0008-0000-0900-000076000000}"/>
                        </a:ext>
                      </a:extLst>
                    </xdr:cNvPr>
                    <xdr:cNvSpPr/>
                  </xdr:nvSpPr>
                  <xdr:spPr>
                    <a:xfrm>
                      <a:off x="29785164"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DB9339-8C9F-4440-BD2D-DC144B064370}" type="TxLink">
                        <a:rPr lang="en-US" sz="1600" b="1" i="0" u="none" strike="noStrike">
                          <a:solidFill>
                            <a:srgbClr val="FFFF00"/>
                          </a:solidFill>
                          <a:latin typeface="Century Gothic"/>
                        </a:rPr>
                        <a:pPr algn="ctr"/>
                        <a:t>66,7%</a:t>
                      </a:fld>
                      <a:endParaRPr lang="es-CO" sz="1800">
                        <a:solidFill>
                          <a:srgbClr val="FFFF00"/>
                        </a:solidFill>
                      </a:endParaRPr>
                    </a:p>
                  </xdr:txBody>
                </xdr:sp>
              </xdr:grpSp>
              <xdr:grpSp>
                <xdr:nvGrpSpPr>
                  <xdr:cNvPr id="112" name="Grupo 111">
                    <a:extLst>
                      <a:ext uri="{FF2B5EF4-FFF2-40B4-BE49-F238E27FC236}">
                        <a16:creationId xmlns:a16="http://schemas.microsoft.com/office/drawing/2014/main" id="{00000000-0008-0000-0900-000070000000}"/>
                      </a:ext>
                    </a:extLst>
                  </xdr:cNvPr>
                  <xdr:cNvGrpSpPr/>
                </xdr:nvGrpSpPr>
                <xdr:grpSpPr>
                  <a:xfrm>
                    <a:off x="10235530" y="14325652"/>
                    <a:ext cx="770852" cy="278910"/>
                    <a:chOff x="10235530" y="14325652"/>
                    <a:chExt cx="770852" cy="278910"/>
                  </a:xfrm>
                </xdr:grpSpPr>
                <xdr:sp macro="" textlink="$K$19">
                  <xdr:nvSpPr>
                    <xdr:cNvPr id="113" name="Rectángulo 112">
                      <a:extLst>
                        <a:ext uri="{FF2B5EF4-FFF2-40B4-BE49-F238E27FC236}">
                          <a16:creationId xmlns:a16="http://schemas.microsoft.com/office/drawing/2014/main" id="{00000000-0008-0000-0900-000071000000}"/>
                        </a:ext>
                      </a:extLst>
                    </xdr:cNvPr>
                    <xdr:cNvSpPr/>
                  </xdr:nvSpPr>
                  <xdr:spPr>
                    <a:xfrm>
                      <a:off x="10270676" y="1433241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48118A-A432-40D2-A22C-75D499CE9CFD}"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19">
                  <xdr:nvSpPr>
                    <xdr:cNvPr id="114" name="Rectángulo 113">
                      <a:extLst>
                        <a:ext uri="{FF2B5EF4-FFF2-40B4-BE49-F238E27FC236}">
                          <a16:creationId xmlns:a16="http://schemas.microsoft.com/office/drawing/2014/main" id="{00000000-0008-0000-0900-000072000000}"/>
                        </a:ext>
                      </a:extLst>
                    </xdr:cNvPr>
                    <xdr:cNvSpPr/>
                  </xdr:nvSpPr>
                  <xdr:spPr>
                    <a:xfrm>
                      <a:off x="10538110" y="1433241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86546A1-C646-4F7E-BA1D-86E6CE846338}" type="TxLink">
                        <a:rPr lang="en-US" sz="1100" b="1" i="0" u="none" strike="noStrike">
                          <a:solidFill>
                            <a:srgbClr val="FFFF00"/>
                          </a:solidFill>
                          <a:latin typeface="Century Gothic"/>
                        </a:rPr>
                        <a:pPr algn="ctr"/>
                        <a:t>3</a:t>
                      </a:fld>
                      <a:endParaRPr lang="es-CO" sz="4400" b="1">
                        <a:solidFill>
                          <a:srgbClr val="FFFF00"/>
                        </a:solidFill>
                      </a:endParaRPr>
                    </a:p>
                  </xdr:txBody>
                </xdr:sp>
                <xdr:sp macro="" textlink="">
                  <xdr:nvSpPr>
                    <xdr:cNvPr id="115" name="CuadroTexto 114">
                      <a:extLst>
                        <a:ext uri="{FF2B5EF4-FFF2-40B4-BE49-F238E27FC236}">
                          <a16:creationId xmlns:a16="http://schemas.microsoft.com/office/drawing/2014/main" id="{00000000-0008-0000-0900-000073000000}"/>
                        </a:ext>
                      </a:extLst>
                    </xdr:cNvPr>
                    <xdr:cNvSpPr txBox="1"/>
                  </xdr:nvSpPr>
                  <xdr:spPr>
                    <a:xfrm>
                      <a:off x="10235530" y="1432565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9" name="Grupo 8">
                <a:extLst>
                  <a:ext uri="{FF2B5EF4-FFF2-40B4-BE49-F238E27FC236}">
                    <a16:creationId xmlns:a16="http://schemas.microsoft.com/office/drawing/2014/main" id="{00000000-0008-0000-0900-000009000000}"/>
                  </a:ext>
                </a:extLst>
              </xdr:cNvPr>
              <xdr:cNvGrpSpPr/>
            </xdr:nvGrpSpPr>
            <xdr:grpSpPr>
              <a:xfrm>
                <a:off x="387640" y="14857065"/>
                <a:ext cx="10838927" cy="1930216"/>
                <a:chOff x="386443" y="14671682"/>
                <a:chExt cx="10841352" cy="1895629"/>
              </a:xfrm>
            </xdr:grpSpPr>
            <xdr:grpSp>
              <xdr:nvGrpSpPr>
                <xdr:cNvPr id="24" name="Grupo 23">
                  <a:extLst>
                    <a:ext uri="{FF2B5EF4-FFF2-40B4-BE49-F238E27FC236}">
                      <a16:creationId xmlns:a16="http://schemas.microsoft.com/office/drawing/2014/main" id="{00000000-0008-0000-0900-000018000000}"/>
                    </a:ext>
                  </a:extLst>
                </xdr:cNvPr>
                <xdr:cNvGrpSpPr/>
              </xdr:nvGrpSpPr>
              <xdr:grpSpPr>
                <a:xfrm>
                  <a:off x="386443" y="14956963"/>
                  <a:ext cx="720000" cy="1610348"/>
                  <a:chOff x="27391177" y="8406495"/>
                  <a:chExt cx="720000" cy="1610348"/>
                </a:xfrm>
              </xdr:grpSpPr>
              <xdr:sp macro="" textlink="">
                <xdr:nvSpPr>
                  <xdr:cNvPr id="98" name="Rectángulo 97">
                    <a:extLst>
                      <a:ext uri="{FF2B5EF4-FFF2-40B4-BE49-F238E27FC236}">
                        <a16:creationId xmlns:a16="http://schemas.microsoft.com/office/drawing/2014/main" id="{00000000-0008-0000-0900-000062000000}"/>
                      </a:ext>
                    </a:extLst>
                  </xdr:cNvPr>
                  <xdr:cNvSpPr/>
                </xdr:nvSpPr>
                <xdr:spPr>
                  <a:xfrm>
                    <a:off x="27391177" y="8450034"/>
                    <a:ext cx="720000"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9" name="CuadroTexto 98">
                    <a:extLst>
                      <a:ext uri="{FF2B5EF4-FFF2-40B4-BE49-F238E27FC236}">
                        <a16:creationId xmlns:a16="http://schemas.microsoft.com/office/drawing/2014/main" id="{00000000-0008-0000-0900-000063000000}"/>
                      </a:ext>
                    </a:extLst>
                  </xdr:cNvPr>
                  <xdr:cNvSpPr txBox="1"/>
                </xdr:nvSpPr>
                <xdr:spPr>
                  <a:xfrm rot="16200000">
                    <a:off x="26930701"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25" name="Flecha abajo 24">
                  <a:extLst>
                    <a:ext uri="{FF2B5EF4-FFF2-40B4-BE49-F238E27FC236}">
                      <a16:creationId xmlns:a16="http://schemas.microsoft.com/office/drawing/2014/main" id="{00000000-0008-0000-0900-000019000000}"/>
                    </a:ext>
                  </a:extLst>
                </xdr:cNvPr>
                <xdr:cNvSpPr/>
              </xdr:nvSpPr>
              <xdr:spPr>
                <a:xfrm rot="10800000">
                  <a:off x="5788521" y="14671682"/>
                  <a:ext cx="468000" cy="288000"/>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6" name="Grupo 25">
                  <a:extLst>
                    <a:ext uri="{FF2B5EF4-FFF2-40B4-BE49-F238E27FC236}">
                      <a16:creationId xmlns:a16="http://schemas.microsoft.com/office/drawing/2014/main" id="{00000000-0008-0000-0900-00001A000000}"/>
                    </a:ext>
                  </a:extLst>
                </xdr:cNvPr>
                <xdr:cNvGrpSpPr/>
              </xdr:nvGrpSpPr>
              <xdr:grpSpPr>
                <a:xfrm>
                  <a:off x="1232807" y="15003214"/>
                  <a:ext cx="2160000" cy="747069"/>
                  <a:chOff x="1232807" y="15003214"/>
                  <a:chExt cx="2160000" cy="747069"/>
                </a:xfrm>
              </xdr:grpSpPr>
              <xdr:grpSp>
                <xdr:nvGrpSpPr>
                  <xdr:cNvPr id="90" name="Grupo 89">
                    <a:extLst>
                      <a:ext uri="{FF2B5EF4-FFF2-40B4-BE49-F238E27FC236}">
                        <a16:creationId xmlns:a16="http://schemas.microsoft.com/office/drawing/2014/main" id="{00000000-0008-0000-0900-00005A000000}"/>
                      </a:ext>
                    </a:extLst>
                  </xdr:cNvPr>
                  <xdr:cNvGrpSpPr/>
                </xdr:nvGrpSpPr>
                <xdr:grpSpPr>
                  <a:xfrm>
                    <a:off x="1232807" y="15003214"/>
                    <a:ext cx="2160000" cy="726638"/>
                    <a:chOff x="28351843" y="12458683"/>
                    <a:chExt cx="2160000" cy="726638"/>
                  </a:xfrm>
                </xdr:grpSpPr>
                <xdr:sp macro="" textlink="">
                  <xdr:nvSpPr>
                    <xdr:cNvPr id="95" name="Cheurón 94">
                      <a:extLst>
                        <a:ext uri="{FF2B5EF4-FFF2-40B4-BE49-F238E27FC236}">
                          <a16:creationId xmlns:a16="http://schemas.microsoft.com/office/drawing/2014/main" id="{00000000-0008-0000-0900-00005F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96" name="CuadroTexto 95">
                      <a:extLst>
                        <a:ext uri="{FF2B5EF4-FFF2-40B4-BE49-F238E27FC236}">
                          <a16:creationId xmlns:a16="http://schemas.microsoft.com/office/drawing/2014/main" id="{00000000-0008-0000-0900-00006000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S$20">
                  <xdr:nvSpPr>
                    <xdr:cNvPr id="97" name="Rectángulo redondeado 96">
                      <a:extLst>
                        <a:ext uri="{FF2B5EF4-FFF2-40B4-BE49-F238E27FC236}">
                          <a16:creationId xmlns:a16="http://schemas.microsoft.com/office/drawing/2014/main" id="{00000000-0008-0000-0900-000061000000}"/>
                        </a:ext>
                      </a:extLst>
                    </xdr:cNvPr>
                    <xdr:cNvSpPr/>
                  </xdr:nvSpPr>
                  <xdr:spPr>
                    <a:xfrm>
                      <a:off x="29557264" y="1257903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7B9DA45-1564-4925-8E3C-F1C11C6F788C}" type="TxLink">
                        <a:rPr lang="en-US" sz="1600" b="1" i="0" u="none" strike="noStrike">
                          <a:solidFill>
                            <a:srgbClr val="FFFF00"/>
                          </a:solidFill>
                          <a:latin typeface="Century Gothic"/>
                        </a:rPr>
                        <a:pPr algn="ctr"/>
                        <a:t>80,0%</a:t>
                      </a:fld>
                      <a:endParaRPr lang="es-CO" sz="2000">
                        <a:solidFill>
                          <a:srgbClr val="FFFF00"/>
                        </a:solidFill>
                      </a:endParaRPr>
                    </a:p>
                  </xdr:txBody>
                </xdr:sp>
              </xdr:grpSp>
              <xdr:grpSp>
                <xdr:nvGrpSpPr>
                  <xdr:cNvPr id="91" name="Grupo 90">
                    <a:extLst>
                      <a:ext uri="{FF2B5EF4-FFF2-40B4-BE49-F238E27FC236}">
                        <a16:creationId xmlns:a16="http://schemas.microsoft.com/office/drawing/2014/main" id="{00000000-0008-0000-0900-00005B000000}"/>
                      </a:ext>
                    </a:extLst>
                  </xdr:cNvPr>
                  <xdr:cNvGrpSpPr/>
                </xdr:nvGrpSpPr>
                <xdr:grpSpPr>
                  <a:xfrm>
                    <a:off x="2474511" y="15468653"/>
                    <a:ext cx="770852" cy="281630"/>
                    <a:chOff x="2474511" y="15468653"/>
                    <a:chExt cx="770852" cy="281630"/>
                  </a:xfrm>
                </xdr:grpSpPr>
                <xdr:sp macro="" textlink="$K$20">
                  <xdr:nvSpPr>
                    <xdr:cNvPr id="92" name="Rectángulo 91">
                      <a:extLst>
                        <a:ext uri="{FF2B5EF4-FFF2-40B4-BE49-F238E27FC236}">
                          <a16:creationId xmlns:a16="http://schemas.microsoft.com/office/drawing/2014/main" id="{00000000-0008-0000-0900-00005C000000}"/>
                        </a:ext>
                      </a:extLst>
                    </xdr:cNvPr>
                    <xdr:cNvSpPr/>
                  </xdr:nvSpPr>
                  <xdr:spPr>
                    <a:xfrm>
                      <a:off x="2490114" y="15478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6A62B81-4455-4CFB-8D9D-AE6C5702C82E}"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0">
                  <xdr:nvSpPr>
                    <xdr:cNvPr id="93" name="Rectángulo 92">
                      <a:extLst>
                        <a:ext uri="{FF2B5EF4-FFF2-40B4-BE49-F238E27FC236}">
                          <a16:creationId xmlns:a16="http://schemas.microsoft.com/office/drawing/2014/main" id="{00000000-0008-0000-0900-00005D000000}"/>
                        </a:ext>
                      </a:extLst>
                    </xdr:cNvPr>
                    <xdr:cNvSpPr/>
                  </xdr:nvSpPr>
                  <xdr:spPr>
                    <a:xfrm>
                      <a:off x="2766208" y="15478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2BC07F-426B-4653-907F-59D5C6316511}" type="TxLink">
                        <a:rPr lang="en-US" sz="1100" b="1" i="0" u="none" strike="noStrike">
                          <a:solidFill>
                            <a:srgbClr val="FFFF00"/>
                          </a:solidFill>
                          <a:latin typeface="Century Gothic"/>
                        </a:rPr>
                        <a:pPr algn="ctr"/>
                        <a:t>5</a:t>
                      </a:fld>
                      <a:endParaRPr lang="es-CO" sz="4400" b="1">
                        <a:solidFill>
                          <a:srgbClr val="FFFF00"/>
                        </a:solidFill>
                      </a:endParaRPr>
                    </a:p>
                  </xdr:txBody>
                </xdr:sp>
                <xdr:sp macro="" textlink="">
                  <xdr:nvSpPr>
                    <xdr:cNvPr id="94" name="CuadroTexto 93">
                      <a:extLst>
                        <a:ext uri="{FF2B5EF4-FFF2-40B4-BE49-F238E27FC236}">
                          <a16:creationId xmlns:a16="http://schemas.microsoft.com/office/drawing/2014/main" id="{00000000-0008-0000-0900-00005E000000}"/>
                        </a:ext>
                      </a:extLst>
                    </xdr:cNvPr>
                    <xdr:cNvSpPr txBox="1"/>
                  </xdr:nvSpPr>
                  <xdr:spPr>
                    <a:xfrm>
                      <a:off x="2474511" y="154686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27" name="Grupo 26">
                  <a:extLst>
                    <a:ext uri="{FF2B5EF4-FFF2-40B4-BE49-F238E27FC236}">
                      <a16:creationId xmlns:a16="http://schemas.microsoft.com/office/drawing/2014/main" id="{00000000-0008-0000-0900-00001B000000}"/>
                    </a:ext>
                  </a:extLst>
                </xdr:cNvPr>
                <xdr:cNvGrpSpPr/>
              </xdr:nvGrpSpPr>
              <xdr:grpSpPr>
                <a:xfrm>
                  <a:off x="3181350" y="15005937"/>
                  <a:ext cx="2160000" cy="760676"/>
                  <a:chOff x="3181350" y="15005937"/>
                  <a:chExt cx="2160000" cy="760676"/>
                </a:xfrm>
              </xdr:grpSpPr>
              <xdr:grpSp>
                <xdr:nvGrpSpPr>
                  <xdr:cNvPr id="82" name="Grupo 81">
                    <a:extLst>
                      <a:ext uri="{FF2B5EF4-FFF2-40B4-BE49-F238E27FC236}">
                        <a16:creationId xmlns:a16="http://schemas.microsoft.com/office/drawing/2014/main" id="{00000000-0008-0000-0900-000052000000}"/>
                      </a:ext>
                    </a:extLst>
                  </xdr:cNvPr>
                  <xdr:cNvGrpSpPr/>
                </xdr:nvGrpSpPr>
                <xdr:grpSpPr>
                  <a:xfrm>
                    <a:off x="3181350" y="15005937"/>
                    <a:ext cx="2160000" cy="726638"/>
                    <a:chOff x="28351843" y="12458683"/>
                    <a:chExt cx="2160000" cy="726638"/>
                  </a:xfrm>
                </xdr:grpSpPr>
                <xdr:sp macro="" textlink="">
                  <xdr:nvSpPr>
                    <xdr:cNvPr id="87" name="Cheurón 86">
                      <a:extLst>
                        <a:ext uri="{FF2B5EF4-FFF2-40B4-BE49-F238E27FC236}">
                          <a16:creationId xmlns:a16="http://schemas.microsoft.com/office/drawing/2014/main" id="{00000000-0008-0000-0900-000057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8" name="CuadroTexto 87">
                      <a:extLst>
                        <a:ext uri="{FF2B5EF4-FFF2-40B4-BE49-F238E27FC236}">
                          <a16:creationId xmlns:a16="http://schemas.microsoft.com/office/drawing/2014/main" id="{00000000-0008-0000-0900-000058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S$21">
                  <xdr:nvSpPr>
                    <xdr:cNvPr id="89" name="Rectángulo redondeado 88">
                      <a:extLst>
                        <a:ext uri="{FF2B5EF4-FFF2-40B4-BE49-F238E27FC236}">
                          <a16:creationId xmlns:a16="http://schemas.microsoft.com/office/drawing/2014/main" id="{00000000-0008-0000-0900-000059000000}"/>
                        </a:ext>
                      </a:extLst>
                    </xdr:cNvPr>
                    <xdr:cNvSpPr/>
                  </xdr:nvSpPr>
                  <xdr:spPr>
                    <a:xfrm>
                      <a:off x="29557264"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DC79ED9-21C8-498C-A82F-97D43F395171}" type="TxLink">
                        <a:rPr lang="en-US" sz="1600" b="1" i="0" u="none" strike="noStrike">
                          <a:solidFill>
                            <a:srgbClr val="FFFF00"/>
                          </a:solidFill>
                          <a:latin typeface="Century Gothic"/>
                        </a:rPr>
                        <a:pPr algn="ctr"/>
                        <a:t>17,6%</a:t>
                      </a:fld>
                      <a:endParaRPr lang="es-CO" sz="2800">
                        <a:solidFill>
                          <a:srgbClr val="FFFF00"/>
                        </a:solidFill>
                      </a:endParaRPr>
                    </a:p>
                  </xdr:txBody>
                </xdr:sp>
              </xdr:grpSp>
              <xdr:grpSp>
                <xdr:nvGrpSpPr>
                  <xdr:cNvPr id="83" name="Grupo 82">
                    <a:extLst>
                      <a:ext uri="{FF2B5EF4-FFF2-40B4-BE49-F238E27FC236}">
                        <a16:creationId xmlns:a16="http://schemas.microsoft.com/office/drawing/2014/main" id="{00000000-0008-0000-0900-000053000000}"/>
                      </a:ext>
                    </a:extLst>
                  </xdr:cNvPr>
                  <xdr:cNvGrpSpPr/>
                </xdr:nvGrpSpPr>
                <xdr:grpSpPr>
                  <a:xfrm>
                    <a:off x="4435171" y="15473755"/>
                    <a:ext cx="770852" cy="292858"/>
                    <a:chOff x="4435171" y="15473755"/>
                    <a:chExt cx="770852" cy="292858"/>
                  </a:xfrm>
                </xdr:grpSpPr>
                <xdr:sp macro="" textlink="$K$21">
                  <xdr:nvSpPr>
                    <xdr:cNvPr id="84" name="Rectángulo 83">
                      <a:extLst>
                        <a:ext uri="{FF2B5EF4-FFF2-40B4-BE49-F238E27FC236}">
                          <a16:creationId xmlns:a16="http://schemas.microsoft.com/office/drawing/2014/main" id="{00000000-0008-0000-0900-000054000000}"/>
                        </a:ext>
                      </a:extLst>
                    </xdr:cNvPr>
                    <xdr:cNvSpPr/>
                  </xdr:nvSpPr>
                  <xdr:spPr>
                    <a:xfrm>
                      <a:off x="4465868" y="1549447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F91F8C-D466-485E-AAA4-2C228A81F484}" type="TxLink">
                        <a:rPr lang="en-US" sz="1100" b="1" i="0" u="none" strike="noStrike">
                          <a:solidFill>
                            <a:srgbClr val="FFFF00"/>
                          </a:solidFill>
                          <a:latin typeface="Century Gothic"/>
                        </a:rPr>
                        <a:pPr algn="ctr"/>
                        <a:t>3</a:t>
                      </a:fld>
                      <a:endParaRPr lang="es-CO" sz="4400" b="1">
                        <a:solidFill>
                          <a:srgbClr val="FFFF00"/>
                        </a:solidFill>
                      </a:endParaRPr>
                    </a:p>
                  </xdr:txBody>
                </xdr:sp>
                <xdr:sp macro="" textlink="$J$21">
                  <xdr:nvSpPr>
                    <xdr:cNvPr id="85" name="Rectángulo 84">
                      <a:extLst>
                        <a:ext uri="{FF2B5EF4-FFF2-40B4-BE49-F238E27FC236}">
                          <a16:creationId xmlns:a16="http://schemas.microsoft.com/office/drawing/2014/main" id="{00000000-0008-0000-0900-000055000000}"/>
                        </a:ext>
                      </a:extLst>
                    </xdr:cNvPr>
                    <xdr:cNvSpPr/>
                  </xdr:nvSpPr>
                  <xdr:spPr>
                    <a:xfrm>
                      <a:off x="4728356" y="1549447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DEDAC5-71CE-4B1F-959E-A434CDEE9909}" type="TxLink">
                        <a:rPr lang="en-US" sz="1100" b="1" i="0" u="none" strike="noStrike">
                          <a:solidFill>
                            <a:srgbClr val="FFFF00"/>
                          </a:solidFill>
                          <a:latin typeface="Century Gothic"/>
                        </a:rPr>
                        <a:pPr algn="ctr"/>
                        <a:t>17</a:t>
                      </a:fld>
                      <a:endParaRPr lang="es-CO" sz="4400" b="1">
                        <a:solidFill>
                          <a:srgbClr val="FFFF00"/>
                        </a:solidFill>
                      </a:endParaRPr>
                    </a:p>
                  </xdr:txBody>
                </xdr:sp>
                <xdr:sp macro="" textlink="">
                  <xdr:nvSpPr>
                    <xdr:cNvPr id="86" name="CuadroTexto 85">
                      <a:extLst>
                        <a:ext uri="{FF2B5EF4-FFF2-40B4-BE49-F238E27FC236}">
                          <a16:creationId xmlns:a16="http://schemas.microsoft.com/office/drawing/2014/main" id="{00000000-0008-0000-0900-000056000000}"/>
                        </a:ext>
                      </a:extLst>
                    </xdr:cNvPr>
                    <xdr:cNvSpPr txBox="1"/>
                  </xdr:nvSpPr>
                  <xdr:spPr>
                    <a:xfrm>
                      <a:off x="4435171" y="154737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28" name="Grupo 27">
                  <a:extLst>
                    <a:ext uri="{FF2B5EF4-FFF2-40B4-BE49-F238E27FC236}">
                      <a16:creationId xmlns:a16="http://schemas.microsoft.com/office/drawing/2014/main" id="{00000000-0008-0000-0900-00001C000000}"/>
                    </a:ext>
                  </a:extLst>
                </xdr:cNvPr>
                <xdr:cNvGrpSpPr/>
              </xdr:nvGrpSpPr>
              <xdr:grpSpPr>
                <a:xfrm>
                  <a:off x="5143494" y="15008660"/>
                  <a:ext cx="2195849" cy="760676"/>
                  <a:chOff x="5143494" y="15008660"/>
                  <a:chExt cx="2195849" cy="760676"/>
                </a:xfrm>
              </xdr:grpSpPr>
              <xdr:grpSp>
                <xdr:nvGrpSpPr>
                  <xdr:cNvPr id="74" name="Grupo 73">
                    <a:extLst>
                      <a:ext uri="{FF2B5EF4-FFF2-40B4-BE49-F238E27FC236}">
                        <a16:creationId xmlns:a16="http://schemas.microsoft.com/office/drawing/2014/main" id="{00000000-0008-0000-0900-00004A000000}"/>
                      </a:ext>
                    </a:extLst>
                  </xdr:cNvPr>
                  <xdr:cNvGrpSpPr/>
                </xdr:nvGrpSpPr>
                <xdr:grpSpPr>
                  <a:xfrm>
                    <a:off x="5143494" y="15008660"/>
                    <a:ext cx="2195849" cy="726638"/>
                    <a:chOff x="28351843" y="12458683"/>
                    <a:chExt cx="2195849" cy="726638"/>
                  </a:xfrm>
                </xdr:grpSpPr>
                <xdr:sp macro="" textlink="">
                  <xdr:nvSpPr>
                    <xdr:cNvPr id="79" name="Cheurón 78">
                      <a:extLst>
                        <a:ext uri="{FF2B5EF4-FFF2-40B4-BE49-F238E27FC236}">
                          <a16:creationId xmlns:a16="http://schemas.microsoft.com/office/drawing/2014/main" id="{00000000-0008-0000-0900-00004F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0" name="CuadroTexto 79">
                      <a:extLst>
                        <a:ext uri="{FF2B5EF4-FFF2-40B4-BE49-F238E27FC236}">
                          <a16:creationId xmlns:a16="http://schemas.microsoft.com/office/drawing/2014/main" id="{00000000-0008-0000-0900-000050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S$22">
                  <xdr:nvSpPr>
                    <xdr:cNvPr id="81" name="Rectángulo redondeado 80">
                      <a:extLst>
                        <a:ext uri="{FF2B5EF4-FFF2-40B4-BE49-F238E27FC236}">
                          <a16:creationId xmlns:a16="http://schemas.microsoft.com/office/drawing/2014/main" id="{00000000-0008-0000-0900-000051000000}"/>
                        </a:ext>
                      </a:extLst>
                    </xdr:cNvPr>
                    <xdr:cNvSpPr/>
                  </xdr:nvSpPr>
                  <xdr:spPr>
                    <a:xfrm>
                      <a:off x="29611692"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409F841-DDAC-4C2A-9E8A-BD2C3A4657E2}" type="TxLink">
                        <a:rPr lang="en-US" sz="1600" b="1" i="0" u="none" strike="noStrike">
                          <a:solidFill>
                            <a:srgbClr val="FFFF00"/>
                          </a:solidFill>
                          <a:latin typeface="Century Gothic"/>
                        </a:rPr>
                        <a:pPr algn="ctr"/>
                        <a:t>20,0%</a:t>
                      </a:fld>
                      <a:endParaRPr lang="es-CO" sz="3600">
                        <a:solidFill>
                          <a:srgbClr val="FFFF00"/>
                        </a:solidFill>
                      </a:endParaRPr>
                    </a:p>
                  </xdr:txBody>
                </xdr:sp>
              </xdr:grpSp>
              <xdr:grpSp>
                <xdr:nvGrpSpPr>
                  <xdr:cNvPr id="75" name="Grupo 74">
                    <a:extLst>
                      <a:ext uri="{FF2B5EF4-FFF2-40B4-BE49-F238E27FC236}">
                        <a16:creationId xmlns:a16="http://schemas.microsoft.com/office/drawing/2014/main" id="{00000000-0008-0000-0900-00004B000000}"/>
                      </a:ext>
                    </a:extLst>
                  </xdr:cNvPr>
                  <xdr:cNvGrpSpPr/>
                </xdr:nvGrpSpPr>
                <xdr:grpSpPr>
                  <a:xfrm>
                    <a:off x="6408208" y="15490762"/>
                    <a:ext cx="770852" cy="278574"/>
                    <a:chOff x="6435422" y="15490762"/>
                    <a:chExt cx="770852" cy="278574"/>
                  </a:xfrm>
                </xdr:grpSpPr>
                <xdr:sp macro="" textlink="$K$22">
                  <xdr:nvSpPr>
                    <xdr:cNvPr id="76" name="Rectángulo 75">
                      <a:extLst>
                        <a:ext uri="{FF2B5EF4-FFF2-40B4-BE49-F238E27FC236}">
                          <a16:creationId xmlns:a16="http://schemas.microsoft.com/office/drawing/2014/main" id="{00000000-0008-0000-0900-00004C000000}"/>
                        </a:ext>
                      </a:extLst>
                    </xdr:cNvPr>
                    <xdr:cNvSpPr/>
                  </xdr:nvSpPr>
                  <xdr:spPr>
                    <a:xfrm>
                      <a:off x="6468837" y="1549719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7804FE1-8E3C-44E1-AE68-FA30E05894E7}"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22">
                  <xdr:nvSpPr>
                    <xdr:cNvPr id="77" name="Rectángulo 76">
                      <a:extLst>
                        <a:ext uri="{FF2B5EF4-FFF2-40B4-BE49-F238E27FC236}">
                          <a16:creationId xmlns:a16="http://schemas.microsoft.com/office/drawing/2014/main" id="{00000000-0008-0000-0900-00004D000000}"/>
                        </a:ext>
                      </a:extLst>
                    </xdr:cNvPr>
                    <xdr:cNvSpPr/>
                  </xdr:nvSpPr>
                  <xdr:spPr>
                    <a:xfrm>
                      <a:off x="6744932" y="1549719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312D0E3-57BF-4878-A224-EFCDD0B2E595}" type="TxLink">
                        <a:rPr lang="en-US" sz="1100" b="1" i="0" u="none" strike="noStrike">
                          <a:solidFill>
                            <a:srgbClr val="FFFF00"/>
                          </a:solidFill>
                          <a:latin typeface="Century Gothic"/>
                        </a:rPr>
                        <a:pPr algn="ctr"/>
                        <a:t>5</a:t>
                      </a:fld>
                      <a:endParaRPr lang="es-CO" sz="4400" b="1">
                        <a:solidFill>
                          <a:srgbClr val="FFFF00"/>
                        </a:solidFill>
                      </a:endParaRPr>
                    </a:p>
                  </xdr:txBody>
                </xdr:sp>
                <xdr:sp macro="" textlink="">
                  <xdr:nvSpPr>
                    <xdr:cNvPr id="78" name="CuadroTexto 77">
                      <a:extLst>
                        <a:ext uri="{FF2B5EF4-FFF2-40B4-BE49-F238E27FC236}">
                          <a16:creationId xmlns:a16="http://schemas.microsoft.com/office/drawing/2014/main" id="{00000000-0008-0000-0900-00004E000000}"/>
                        </a:ext>
                      </a:extLst>
                    </xdr:cNvPr>
                    <xdr:cNvSpPr txBox="1"/>
                  </xdr:nvSpPr>
                  <xdr:spPr>
                    <a:xfrm>
                      <a:off x="6435422" y="1549076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29" name="Grupo 28">
                  <a:extLst>
                    <a:ext uri="{FF2B5EF4-FFF2-40B4-BE49-F238E27FC236}">
                      <a16:creationId xmlns:a16="http://schemas.microsoft.com/office/drawing/2014/main" id="{00000000-0008-0000-0900-00001D000000}"/>
                    </a:ext>
                  </a:extLst>
                </xdr:cNvPr>
                <xdr:cNvGrpSpPr/>
              </xdr:nvGrpSpPr>
              <xdr:grpSpPr>
                <a:xfrm>
                  <a:off x="7105645" y="15011383"/>
                  <a:ext cx="2160000" cy="747069"/>
                  <a:chOff x="7105645" y="15011383"/>
                  <a:chExt cx="2160000" cy="747069"/>
                </a:xfrm>
              </xdr:grpSpPr>
              <xdr:grpSp>
                <xdr:nvGrpSpPr>
                  <xdr:cNvPr id="66" name="Grupo 65">
                    <a:extLst>
                      <a:ext uri="{FF2B5EF4-FFF2-40B4-BE49-F238E27FC236}">
                        <a16:creationId xmlns:a16="http://schemas.microsoft.com/office/drawing/2014/main" id="{00000000-0008-0000-0900-000042000000}"/>
                      </a:ext>
                    </a:extLst>
                  </xdr:cNvPr>
                  <xdr:cNvGrpSpPr/>
                </xdr:nvGrpSpPr>
                <xdr:grpSpPr>
                  <a:xfrm>
                    <a:off x="7105645" y="15011383"/>
                    <a:ext cx="2160000" cy="726638"/>
                    <a:chOff x="28351843" y="12458683"/>
                    <a:chExt cx="2160000" cy="726638"/>
                  </a:xfrm>
                </xdr:grpSpPr>
                <xdr:sp macro="" textlink="">
                  <xdr:nvSpPr>
                    <xdr:cNvPr id="71" name="Cheurón 70">
                      <a:extLst>
                        <a:ext uri="{FF2B5EF4-FFF2-40B4-BE49-F238E27FC236}">
                          <a16:creationId xmlns:a16="http://schemas.microsoft.com/office/drawing/2014/main" id="{00000000-0008-0000-0900-000047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2" name="CuadroTexto 71">
                      <a:extLst>
                        <a:ext uri="{FF2B5EF4-FFF2-40B4-BE49-F238E27FC236}">
                          <a16:creationId xmlns:a16="http://schemas.microsoft.com/office/drawing/2014/main" id="{00000000-0008-0000-0900-000048000000}"/>
                        </a:ext>
                      </a:extLst>
                    </xdr:cNvPr>
                    <xdr:cNvSpPr txBox="1"/>
                  </xdr:nvSpPr>
                  <xdr:spPr>
                    <a:xfrm>
                      <a:off x="284966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S$23">
                  <xdr:nvSpPr>
                    <xdr:cNvPr id="73" name="Rectángulo redondeado 72">
                      <a:extLst>
                        <a:ext uri="{FF2B5EF4-FFF2-40B4-BE49-F238E27FC236}">
                          <a16:creationId xmlns:a16="http://schemas.microsoft.com/office/drawing/2014/main" id="{00000000-0008-0000-0900-000049000000}"/>
                        </a:ext>
                      </a:extLst>
                    </xdr:cNvPr>
                    <xdr:cNvSpPr/>
                  </xdr:nvSpPr>
                  <xdr:spPr>
                    <a:xfrm>
                      <a:off x="29570871"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697ABF5-F1C2-4F4D-89EA-8D4544611577}" type="TxLink">
                        <a:rPr lang="en-US" sz="1600" b="1" i="0" u="none" strike="noStrike">
                          <a:solidFill>
                            <a:srgbClr val="FFFF00"/>
                          </a:solidFill>
                          <a:latin typeface="Century Gothic"/>
                        </a:rPr>
                        <a:pPr algn="ctr"/>
                        <a:t>33,3%</a:t>
                      </a:fld>
                      <a:endParaRPr lang="es-CO" sz="4400">
                        <a:solidFill>
                          <a:srgbClr val="FFFF00"/>
                        </a:solidFill>
                      </a:endParaRPr>
                    </a:p>
                  </xdr:txBody>
                </xdr:sp>
              </xdr:grpSp>
              <xdr:grpSp>
                <xdr:nvGrpSpPr>
                  <xdr:cNvPr id="67" name="Grupo 66">
                    <a:extLst>
                      <a:ext uri="{FF2B5EF4-FFF2-40B4-BE49-F238E27FC236}">
                        <a16:creationId xmlns:a16="http://schemas.microsoft.com/office/drawing/2014/main" id="{00000000-0008-0000-0900-000043000000}"/>
                      </a:ext>
                    </a:extLst>
                  </xdr:cNvPr>
                  <xdr:cNvGrpSpPr/>
                </xdr:nvGrpSpPr>
                <xdr:grpSpPr>
                  <a:xfrm>
                    <a:off x="8331760" y="15473756"/>
                    <a:ext cx="770852" cy="284696"/>
                    <a:chOff x="8331760" y="15473756"/>
                    <a:chExt cx="770852" cy="284696"/>
                  </a:xfrm>
                </xdr:grpSpPr>
                <xdr:sp macro="" textlink="$K$23">
                  <xdr:nvSpPr>
                    <xdr:cNvPr id="68" name="Rectángulo 67">
                      <a:extLst>
                        <a:ext uri="{FF2B5EF4-FFF2-40B4-BE49-F238E27FC236}">
                          <a16:creationId xmlns:a16="http://schemas.microsoft.com/office/drawing/2014/main" id="{00000000-0008-0000-0900-000044000000}"/>
                        </a:ext>
                      </a:extLst>
                    </xdr:cNvPr>
                    <xdr:cNvSpPr/>
                  </xdr:nvSpPr>
                  <xdr:spPr>
                    <a:xfrm>
                      <a:off x="8362953" y="154863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21B05C-139C-477C-86F6-AAC766EC8DC4}"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3">
                  <xdr:nvSpPr>
                    <xdr:cNvPr id="69" name="Rectángulo 68">
                      <a:extLst>
                        <a:ext uri="{FF2B5EF4-FFF2-40B4-BE49-F238E27FC236}">
                          <a16:creationId xmlns:a16="http://schemas.microsoft.com/office/drawing/2014/main" id="{00000000-0008-0000-0900-000045000000}"/>
                        </a:ext>
                      </a:extLst>
                    </xdr:cNvPr>
                    <xdr:cNvSpPr/>
                  </xdr:nvSpPr>
                  <xdr:spPr>
                    <a:xfrm>
                      <a:off x="8625440" y="154863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AE97232-4C1C-4466-B666-258B123901D3}" type="TxLink">
                        <a:rPr lang="en-US" sz="1100" b="1" i="0" u="none" strike="noStrike">
                          <a:solidFill>
                            <a:srgbClr val="FFFF00"/>
                          </a:solidFill>
                          <a:latin typeface="Century Gothic"/>
                        </a:rPr>
                        <a:pPr algn="ctr"/>
                        <a:t>12</a:t>
                      </a:fld>
                      <a:endParaRPr lang="es-CO" sz="4400" b="1">
                        <a:solidFill>
                          <a:srgbClr val="FFFF00"/>
                        </a:solidFill>
                      </a:endParaRPr>
                    </a:p>
                  </xdr:txBody>
                </xdr:sp>
                <xdr:sp macro="" textlink="">
                  <xdr:nvSpPr>
                    <xdr:cNvPr id="70" name="CuadroTexto 69">
                      <a:extLst>
                        <a:ext uri="{FF2B5EF4-FFF2-40B4-BE49-F238E27FC236}">
                          <a16:creationId xmlns:a16="http://schemas.microsoft.com/office/drawing/2014/main" id="{00000000-0008-0000-0900-000046000000}"/>
                        </a:ext>
                      </a:extLst>
                    </xdr:cNvPr>
                    <xdr:cNvSpPr txBox="1"/>
                  </xdr:nvSpPr>
                  <xdr:spPr>
                    <a:xfrm>
                      <a:off x="8331760" y="1547375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0" name="Grupo 29">
                  <a:extLst>
                    <a:ext uri="{FF2B5EF4-FFF2-40B4-BE49-F238E27FC236}">
                      <a16:creationId xmlns:a16="http://schemas.microsoft.com/office/drawing/2014/main" id="{00000000-0008-0000-0900-00001E000000}"/>
                    </a:ext>
                  </a:extLst>
                </xdr:cNvPr>
                <xdr:cNvGrpSpPr/>
              </xdr:nvGrpSpPr>
              <xdr:grpSpPr>
                <a:xfrm>
                  <a:off x="9067795" y="15014106"/>
                  <a:ext cx="2160000" cy="747069"/>
                  <a:chOff x="9067795" y="15014106"/>
                  <a:chExt cx="2160000" cy="747069"/>
                </a:xfrm>
              </xdr:grpSpPr>
              <xdr:grpSp>
                <xdr:nvGrpSpPr>
                  <xdr:cNvPr id="58" name="Grupo 57">
                    <a:extLst>
                      <a:ext uri="{FF2B5EF4-FFF2-40B4-BE49-F238E27FC236}">
                        <a16:creationId xmlns:a16="http://schemas.microsoft.com/office/drawing/2014/main" id="{00000000-0008-0000-0900-00003A000000}"/>
                      </a:ext>
                    </a:extLst>
                  </xdr:cNvPr>
                  <xdr:cNvGrpSpPr/>
                </xdr:nvGrpSpPr>
                <xdr:grpSpPr>
                  <a:xfrm>
                    <a:off x="9067795" y="15014106"/>
                    <a:ext cx="2160000" cy="726638"/>
                    <a:chOff x="28351843" y="12458683"/>
                    <a:chExt cx="2160000" cy="726638"/>
                  </a:xfrm>
                </xdr:grpSpPr>
                <xdr:sp macro="" textlink="">
                  <xdr:nvSpPr>
                    <xdr:cNvPr id="63" name="Cheurón 62">
                      <a:extLst>
                        <a:ext uri="{FF2B5EF4-FFF2-40B4-BE49-F238E27FC236}">
                          <a16:creationId xmlns:a16="http://schemas.microsoft.com/office/drawing/2014/main" id="{00000000-0008-0000-0900-00003F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4" name="CuadroTexto 63">
                      <a:extLst>
                        <a:ext uri="{FF2B5EF4-FFF2-40B4-BE49-F238E27FC236}">
                          <a16:creationId xmlns:a16="http://schemas.microsoft.com/office/drawing/2014/main" id="{00000000-0008-0000-0900-000040000000}"/>
                        </a:ext>
                      </a:extLst>
                    </xdr:cNvPr>
                    <xdr:cNvSpPr txBox="1"/>
                  </xdr:nvSpPr>
                  <xdr:spPr>
                    <a:xfrm>
                      <a:off x="284966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S$24">
                  <xdr:nvSpPr>
                    <xdr:cNvPr id="65" name="Rectángulo redondeado 64">
                      <a:extLst>
                        <a:ext uri="{FF2B5EF4-FFF2-40B4-BE49-F238E27FC236}">
                          <a16:creationId xmlns:a16="http://schemas.microsoft.com/office/drawing/2014/main" id="{00000000-0008-0000-0900-000041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615119F-8672-470D-AE30-0F1041C53ACB}" type="TxLink">
                        <a:rPr lang="en-US" sz="1600" b="1" i="0" u="none" strike="noStrike">
                          <a:solidFill>
                            <a:srgbClr val="FFFF00"/>
                          </a:solidFill>
                          <a:latin typeface="Century Gothic"/>
                        </a:rPr>
                        <a:pPr algn="ctr"/>
                        <a:t>50,0%</a:t>
                      </a:fld>
                      <a:endParaRPr lang="es-CO" sz="5400">
                        <a:solidFill>
                          <a:srgbClr val="FFFF00"/>
                        </a:solidFill>
                      </a:endParaRPr>
                    </a:p>
                  </xdr:txBody>
                </xdr:sp>
              </xdr:grpSp>
              <xdr:grpSp>
                <xdr:nvGrpSpPr>
                  <xdr:cNvPr id="59" name="Grupo 58">
                    <a:extLst>
                      <a:ext uri="{FF2B5EF4-FFF2-40B4-BE49-F238E27FC236}">
                        <a16:creationId xmlns:a16="http://schemas.microsoft.com/office/drawing/2014/main" id="{00000000-0008-0000-0900-00003B000000}"/>
                      </a:ext>
                    </a:extLst>
                  </xdr:cNvPr>
                  <xdr:cNvGrpSpPr/>
                </xdr:nvGrpSpPr>
                <xdr:grpSpPr>
                  <a:xfrm>
                    <a:off x="10245421" y="15482258"/>
                    <a:ext cx="770852" cy="278917"/>
                    <a:chOff x="10245421" y="15482258"/>
                    <a:chExt cx="770852" cy="278917"/>
                  </a:xfrm>
                </xdr:grpSpPr>
                <xdr:sp macro="" textlink="$K$24">
                  <xdr:nvSpPr>
                    <xdr:cNvPr id="60" name="Rectángulo 59">
                      <a:extLst>
                        <a:ext uri="{FF2B5EF4-FFF2-40B4-BE49-F238E27FC236}">
                          <a16:creationId xmlns:a16="http://schemas.microsoft.com/office/drawing/2014/main" id="{00000000-0008-0000-0900-00003C000000}"/>
                        </a:ext>
                      </a:extLst>
                    </xdr:cNvPr>
                    <xdr:cNvSpPr/>
                  </xdr:nvSpPr>
                  <xdr:spPr>
                    <a:xfrm>
                      <a:off x="10284280" y="15489032"/>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FF1D27E-B8FD-4BC4-B67A-20685F3032C3}"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24">
                  <xdr:nvSpPr>
                    <xdr:cNvPr id="61" name="Rectángulo 60">
                      <a:extLst>
                        <a:ext uri="{FF2B5EF4-FFF2-40B4-BE49-F238E27FC236}">
                          <a16:creationId xmlns:a16="http://schemas.microsoft.com/office/drawing/2014/main" id="{00000000-0008-0000-0900-00003D000000}"/>
                        </a:ext>
                      </a:extLst>
                    </xdr:cNvPr>
                    <xdr:cNvSpPr/>
                  </xdr:nvSpPr>
                  <xdr:spPr>
                    <a:xfrm>
                      <a:off x="10560375" y="15489032"/>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15929E-6A33-4A50-9A72-E8AD16FDF034}"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
                  <xdr:nvSpPr>
                    <xdr:cNvPr id="62" name="CuadroTexto 61">
                      <a:extLst>
                        <a:ext uri="{FF2B5EF4-FFF2-40B4-BE49-F238E27FC236}">
                          <a16:creationId xmlns:a16="http://schemas.microsoft.com/office/drawing/2014/main" id="{00000000-0008-0000-0900-00003E000000}"/>
                        </a:ext>
                      </a:extLst>
                    </xdr:cNvPr>
                    <xdr:cNvSpPr txBox="1"/>
                  </xdr:nvSpPr>
                  <xdr:spPr>
                    <a:xfrm>
                      <a:off x="10245421" y="1548225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1" name="Grupo 30">
                  <a:extLst>
                    <a:ext uri="{FF2B5EF4-FFF2-40B4-BE49-F238E27FC236}">
                      <a16:creationId xmlns:a16="http://schemas.microsoft.com/office/drawing/2014/main" id="{00000000-0008-0000-0900-00001F000000}"/>
                    </a:ext>
                  </a:extLst>
                </xdr:cNvPr>
                <xdr:cNvGrpSpPr/>
              </xdr:nvGrpSpPr>
              <xdr:grpSpPr>
                <a:xfrm>
                  <a:off x="3199901" y="15781544"/>
                  <a:ext cx="2160000" cy="730739"/>
                  <a:chOff x="3199901" y="15781544"/>
                  <a:chExt cx="2160000" cy="730739"/>
                </a:xfrm>
              </xdr:grpSpPr>
              <xdr:grpSp>
                <xdr:nvGrpSpPr>
                  <xdr:cNvPr id="50" name="Grupo 49">
                    <a:extLst>
                      <a:ext uri="{FF2B5EF4-FFF2-40B4-BE49-F238E27FC236}">
                        <a16:creationId xmlns:a16="http://schemas.microsoft.com/office/drawing/2014/main" id="{00000000-0008-0000-0900-000032000000}"/>
                      </a:ext>
                    </a:extLst>
                  </xdr:cNvPr>
                  <xdr:cNvGrpSpPr/>
                </xdr:nvGrpSpPr>
                <xdr:grpSpPr>
                  <a:xfrm>
                    <a:off x="3199901" y="15781544"/>
                    <a:ext cx="2160000" cy="726638"/>
                    <a:chOff x="28343182" y="12458683"/>
                    <a:chExt cx="2160000" cy="726638"/>
                  </a:xfrm>
                </xdr:grpSpPr>
                <xdr:sp macro="" textlink="">
                  <xdr:nvSpPr>
                    <xdr:cNvPr id="55" name="Cheurón 54">
                      <a:extLst>
                        <a:ext uri="{FF2B5EF4-FFF2-40B4-BE49-F238E27FC236}">
                          <a16:creationId xmlns:a16="http://schemas.microsoft.com/office/drawing/2014/main" id="{00000000-0008-0000-0900-000037000000}"/>
                        </a:ext>
                      </a:extLst>
                    </xdr:cNvPr>
                    <xdr:cNvSpPr/>
                  </xdr:nvSpPr>
                  <xdr:spPr>
                    <a:xfrm>
                      <a:off x="28343182"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6" name="CuadroTexto 55">
                      <a:extLst>
                        <a:ext uri="{FF2B5EF4-FFF2-40B4-BE49-F238E27FC236}">
                          <a16:creationId xmlns:a16="http://schemas.microsoft.com/office/drawing/2014/main" id="{00000000-0008-0000-0900-000038000000}"/>
                        </a:ext>
                      </a:extLst>
                    </xdr:cNvPr>
                    <xdr:cNvSpPr txBox="1"/>
                  </xdr:nvSpPr>
                  <xdr:spPr>
                    <a:xfrm>
                      <a:off x="2839771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S$25">
                  <xdr:nvSpPr>
                    <xdr:cNvPr id="57" name="Rectángulo redondeado 56">
                      <a:extLst>
                        <a:ext uri="{FF2B5EF4-FFF2-40B4-BE49-F238E27FC236}">
                          <a16:creationId xmlns:a16="http://schemas.microsoft.com/office/drawing/2014/main" id="{00000000-0008-0000-0900-000039000000}"/>
                        </a:ext>
                      </a:extLst>
                    </xdr:cNvPr>
                    <xdr:cNvSpPr/>
                  </xdr:nvSpPr>
                  <xdr:spPr>
                    <a:xfrm>
                      <a:off x="29557264"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0C5DDD5-22CC-41A0-BCCA-EBFE14C727F2}" type="TxLink">
                        <a:rPr lang="en-US" sz="1600" b="1" i="0" u="none" strike="noStrike">
                          <a:solidFill>
                            <a:srgbClr val="FFFF00"/>
                          </a:solidFill>
                          <a:latin typeface="Century Gothic"/>
                        </a:rPr>
                        <a:pPr algn="ctr"/>
                        <a:t>0,0%</a:t>
                      </a:fld>
                      <a:endParaRPr lang="es-CO" sz="2800">
                        <a:solidFill>
                          <a:srgbClr val="FFFF00"/>
                        </a:solidFill>
                      </a:endParaRPr>
                    </a:p>
                  </xdr:txBody>
                </xdr:sp>
              </xdr:grpSp>
              <xdr:grpSp>
                <xdr:nvGrpSpPr>
                  <xdr:cNvPr id="51" name="Grupo 50">
                    <a:extLst>
                      <a:ext uri="{FF2B5EF4-FFF2-40B4-BE49-F238E27FC236}">
                        <a16:creationId xmlns:a16="http://schemas.microsoft.com/office/drawing/2014/main" id="{00000000-0008-0000-0900-000033000000}"/>
                      </a:ext>
                    </a:extLst>
                  </xdr:cNvPr>
                  <xdr:cNvGrpSpPr/>
                </xdr:nvGrpSpPr>
                <xdr:grpSpPr>
                  <a:xfrm>
                    <a:off x="4461153" y="16239155"/>
                    <a:ext cx="770852" cy="273128"/>
                    <a:chOff x="4461153" y="16239155"/>
                    <a:chExt cx="770852" cy="273128"/>
                  </a:xfrm>
                </xdr:grpSpPr>
                <xdr:sp macro="" textlink="$K$25">
                  <xdr:nvSpPr>
                    <xdr:cNvPr id="52" name="Rectángulo 51">
                      <a:extLst>
                        <a:ext uri="{FF2B5EF4-FFF2-40B4-BE49-F238E27FC236}">
                          <a16:creationId xmlns:a16="http://schemas.microsoft.com/office/drawing/2014/main" id="{00000000-0008-0000-0900-000034000000}"/>
                        </a:ext>
                      </a:extLst>
                    </xdr:cNvPr>
                    <xdr:cNvSpPr/>
                  </xdr:nvSpPr>
                  <xdr:spPr>
                    <a:xfrm>
                      <a:off x="4476756" y="16240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E0A3BA-DB3E-4FBD-B34B-F4BA4A57DE42}" type="TxLink">
                        <a:rPr lang="en-US" sz="1100" b="1" i="0" u="none" strike="noStrike">
                          <a:solidFill>
                            <a:srgbClr val="FFFF00"/>
                          </a:solidFill>
                          <a:latin typeface="Century Gothic"/>
                        </a:rPr>
                        <a:pPr algn="ctr"/>
                        <a:t>0</a:t>
                      </a:fld>
                      <a:endParaRPr lang="es-CO" sz="4400" b="1">
                        <a:solidFill>
                          <a:srgbClr val="FFFF00"/>
                        </a:solidFill>
                      </a:endParaRPr>
                    </a:p>
                  </xdr:txBody>
                </xdr:sp>
                <xdr:sp macro="" textlink="$J$25">
                  <xdr:nvSpPr>
                    <xdr:cNvPr id="53" name="Rectángulo 52">
                      <a:extLst>
                        <a:ext uri="{FF2B5EF4-FFF2-40B4-BE49-F238E27FC236}">
                          <a16:creationId xmlns:a16="http://schemas.microsoft.com/office/drawing/2014/main" id="{00000000-0008-0000-0900-000035000000}"/>
                        </a:ext>
                      </a:extLst>
                    </xdr:cNvPr>
                    <xdr:cNvSpPr/>
                  </xdr:nvSpPr>
                  <xdr:spPr>
                    <a:xfrm>
                      <a:off x="4752850" y="16240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016435-3756-4AEE-98AD-B19C4987418C}"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
                  <xdr:nvSpPr>
                    <xdr:cNvPr id="54" name="CuadroTexto 53">
                      <a:extLst>
                        <a:ext uri="{FF2B5EF4-FFF2-40B4-BE49-F238E27FC236}">
                          <a16:creationId xmlns:a16="http://schemas.microsoft.com/office/drawing/2014/main" id="{00000000-0008-0000-0900-000036000000}"/>
                        </a:ext>
                      </a:extLst>
                    </xdr:cNvPr>
                    <xdr:cNvSpPr txBox="1"/>
                  </xdr:nvSpPr>
                  <xdr:spPr>
                    <a:xfrm>
                      <a:off x="4461153" y="162391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2" name="Grupo 31">
                  <a:extLst>
                    <a:ext uri="{FF2B5EF4-FFF2-40B4-BE49-F238E27FC236}">
                      <a16:creationId xmlns:a16="http://schemas.microsoft.com/office/drawing/2014/main" id="{00000000-0008-0000-0900-000020000000}"/>
                    </a:ext>
                  </a:extLst>
                </xdr:cNvPr>
                <xdr:cNvGrpSpPr/>
              </xdr:nvGrpSpPr>
              <xdr:grpSpPr>
                <a:xfrm>
                  <a:off x="5157105" y="15784267"/>
                  <a:ext cx="2160000" cy="730739"/>
                  <a:chOff x="5157105" y="15784267"/>
                  <a:chExt cx="2160000" cy="730739"/>
                </a:xfrm>
              </xdr:grpSpPr>
              <xdr:grpSp>
                <xdr:nvGrpSpPr>
                  <xdr:cNvPr id="42" name="Grupo 41">
                    <a:extLst>
                      <a:ext uri="{FF2B5EF4-FFF2-40B4-BE49-F238E27FC236}">
                        <a16:creationId xmlns:a16="http://schemas.microsoft.com/office/drawing/2014/main" id="{00000000-0008-0000-0900-00002A000000}"/>
                      </a:ext>
                    </a:extLst>
                  </xdr:cNvPr>
                  <xdr:cNvGrpSpPr/>
                </xdr:nvGrpSpPr>
                <xdr:grpSpPr>
                  <a:xfrm>
                    <a:off x="5157105" y="15784267"/>
                    <a:ext cx="2160000" cy="726638"/>
                    <a:chOff x="28351843" y="12458683"/>
                    <a:chExt cx="2160000" cy="726638"/>
                  </a:xfrm>
                </xdr:grpSpPr>
                <xdr:sp macro="" textlink="">
                  <xdr:nvSpPr>
                    <xdr:cNvPr id="47" name="Cheurón 46">
                      <a:extLst>
                        <a:ext uri="{FF2B5EF4-FFF2-40B4-BE49-F238E27FC236}">
                          <a16:creationId xmlns:a16="http://schemas.microsoft.com/office/drawing/2014/main" id="{00000000-0008-0000-0900-00002F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8" name="CuadroTexto 47">
                      <a:extLst>
                        <a:ext uri="{FF2B5EF4-FFF2-40B4-BE49-F238E27FC236}">
                          <a16:creationId xmlns:a16="http://schemas.microsoft.com/office/drawing/2014/main" id="{00000000-0008-0000-0900-000030000000}"/>
                        </a:ext>
                      </a:extLst>
                    </xdr:cNvPr>
                    <xdr:cNvSpPr txBox="1"/>
                  </xdr:nvSpPr>
                  <xdr:spPr>
                    <a:xfrm>
                      <a:off x="284304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S$26">
                  <xdr:nvSpPr>
                    <xdr:cNvPr id="49" name="Rectángulo redondeado 48">
                      <a:extLst>
                        <a:ext uri="{FF2B5EF4-FFF2-40B4-BE49-F238E27FC236}">
                          <a16:creationId xmlns:a16="http://schemas.microsoft.com/office/drawing/2014/main" id="{00000000-0008-0000-0900-000031000000}"/>
                        </a:ext>
                      </a:extLst>
                    </xdr:cNvPr>
                    <xdr:cNvSpPr/>
                  </xdr:nvSpPr>
                  <xdr:spPr>
                    <a:xfrm>
                      <a:off x="29570871"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319C44-54A7-4F46-BFBF-67CA14DE6742}" type="TxLink">
                        <a:rPr lang="en-US" sz="1600" b="1" i="0" u="none" strike="noStrike">
                          <a:solidFill>
                            <a:srgbClr val="FFFF00"/>
                          </a:solidFill>
                          <a:latin typeface="Century Gothic"/>
                        </a:rPr>
                        <a:pPr algn="ctr"/>
                        <a:t>100,0%</a:t>
                      </a:fld>
                      <a:endParaRPr lang="es-CO" sz="3600">
                        <a:solidFill>
                          <a:srgbClr val="FFFF00"/>
                        </a:solidFill>
                      </a:endParaRPr>
                    </a:p>
                  </xdr:txBody>
                </xdr:sp>
              </xdr:grpSp>
              <xdr:grpSp>
                <xdr:nvGrpSpPr>
                  <xdr:cNvPr id="43" name="Grupo 42">
                    <a:extLst>
                      <a:ext uri="{FF2B5EF4-FFF2-40B4-BE49-F238E27FC236}">
                        <a16:creationId xmlns:a16="http://schemas.microsoft.com/office/drawing/2014/main" id="{00000000-0008-0000-0900-00002B000000}"/>
                      </a:ext>
                    </a:extLst>
                  </xdr:cNvPr>
                  <xdr:cNvGrpSpPr/>
                </xdr:nvGrpSpPr>
                <xdr:grpSpPr>
                  <a:xfrm>
                    <a:off x="6411921" y="16230653"/>
                    <a:ext cx="770852" cy="284353"/>
                    <a:chOff x="6411921" y="16230653"/>
                    <a:chExt cx="770852" cy="284353"/>
                  </a:xfrm>
                </xdr:grpSpPr>
                <xdr:sp macro="" textlink="$K$26">
                  <xdr:nvSpPr>
                    <xdr:cNvPr id="44" name="Rectángulo 43">
                      <a:extLst>
                        <a:ext uri="{FF2B5EF4-FFF2-40B4-BE49-F238E27FC236}">
                          <a16:creationId xmlns:a16="http://schemas.microsoft.com/office/drawing/2014/main" id="{00000000-0008-0000-0900-00002C000000}"/>
                        </a:ext>
                      </a:extLst>
                    </xdr:cNvPr>
                    <xdr:cNvSpPr/>
                  </xdr:nvSpPr>
                  <xdr:spPr>
                    <a:xfrm>
                      <a:off x="6438904" y="162428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4F7C77-AE27-48DB-8803-62D43C048588}"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26">
                  <xdr:nvSpPr>
                    <xdr:cNvPr id="45" name="Rectángulo 44">
                      <a:extLst>
                        <a:ext uri="{FF2B5EF4-FFF2-40B4-BE49-F238E27FC236}">
                          <a16:creationId xmlns:a16="http://schemas.microsoft.com/office/drawing/2014/main" id="{00000000-0008-0000-0900-00002D000000}"/>
                        </a:ext>
                      </a:extLst>
                    </xdr:cNvPr>
                    <xdr:cNvSpPr/>
                  </xdr:nvSpPr>
                  <xdr:spPr>
                    <a:xfrm>
                      <a:off x="6714998" y="162428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4AEDB1-E2E0-4714-AAB2-679144A5A6BB}"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
                  <xdr:nvSpPr>
                    <xdr:cNvPr id="46" name="CuadroTexto 45">
                      <a:extLst>
                        <a:ext uri="{FF2B5EF4-FFF2-40B4-BE49-F238E27FC236}">
                          <a16:creationId xmlns:a16="http://schemas.microsoft.com/office/drawing/2014/main" id="{00000000-0008-0000-0900-00002E000000}"/>
                        </a:ext>
                      </a:extLst>
                    </xdr:cNvPr>
                    <xdr:cNvSpPr txBox="1"/>
                  </xdr:nvSpPr>
                  <xdr:spPr>
                    <a:xfrm>
                      <a:off x="6411921" y="162306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33" name="Grupo 32">
                  <a:extLst>
                    <a:ext uri="{FF2B5EF4-FFF2-40B4-BE49-F238E27FC236}">
                      <a16:creationId xmlns:a16="http://schemas.microsoft.com/office/drawing/2014/main" id="{00000000-0008-0000-0900-000021000000}"/>
                    </a:ext>
                  </a:extLst>
                </xdr:cNvPr>
                <xdr:cNvGrpSpPr/>
              </xdr:nvGrpSpPr>
              <xdr:grpSpPr>
                <a:xfrm>
                  <a:off x="7119249" y="15786990"/>
                  <a:ext cx="2160000" cy="730739"/>
                  <a:chOff x="7119249" y="15786990"/>
                  <a:chExt cx="2160000" cy="730739"/>
                </a:xfrm>
              </xdr:grpSpPr>
              <xdr:grpSp>
                <xdr:nvGrpSpPr>
                  <xdr:cNvPr id="34" name="Grupo 33">
                    <a:extLst>
                      <a:ext uri="{FF2B5EF4-FFF2-40B4-BE49-F238E27FC236}">
                        <a16:creationId xmlns:a16="http://schemas.microsoft.com/office/drawing/2014/main" id="{00000000-0008-0000-0900-000022000000}"/>
                      </a:ext>
                    </a:extLst>
                  </xdr:cNvPr>
                  <xdr:cNvGrpSpPr/>
                </xdr:nvGrpSpPr>
                <xdr:grpSpPr>
                  <a:xfrm>
                    <a:off x="7119249" y="15786990"/>
                    <a:ext cx="2160000" cy="726638"/>
                    <a:chOff x="28351843" y="12458683"/>
                    <a:chExt cx="2160000" cy="726638"/>
                  </a:xfrm>
                </xdr:grpSpPr>
                <xdr:sp macro="" textlink="">
                  <xdr:nvSpPr>
                    <xdr:cNvPr id="39" name="Cheurón 38">
                      <a:extLst>
                        <a:ext uri="{FF2B5EF4-FFF2-40B4-BE49-F238E27FC236}">
                          <a16:creationId xmlns:a16="http://schemas.microsoft.com/office/drawing/2014/main" id="{00000000-0008-0000-0900-000027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0" name="CuadroTexto 39">
                      <a:extLst>
                        <a:ext uri="{FF2B5EF4-FFF2-40B4-BE49-F238E27FC236}">
                          <a16:creationId xmlns:a16="http://schemas.microsoft.com/office/drawing/2014/main" id="{00000000-0008-0000-0900-000028000000}"/>
                        </a:ext>
                      </a:extLst>
                    </xdr:cNvPr>
                    <xdr:cNvSpPr txBox="1"/>
                  </xdr:nvSpPr>
                  <xdr:spPr>
                    <a:xfrm>
                      <a:off x="28428643"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S$27">
                  <xdr:nvSpPr>
                    <xdr:cNvPr id="41" name="Rectángulo redondeado 40">
                      <a:extLst>
                        <a:ext uri="{FF2B5EF4-FFF2-40B4-BE49-F238E27FC236}">
                          <a16:creationId xmlns:a16="http://schemas.microsoft.com/office/drawing/2014/main" id="{00000000-0008-0000-0900-000029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B438CE-1806-4C4D-A5DD-FACE1A9D095E}" type="TxLink">
                        <a:rPr lang="en-US" sz="1600" b="1" i="0" u="none" strike="noStrike">
                          <a:solidFill>
                            <a:srgbClr val="FFFF00"/>
                          </a:solidFill>
                          <a:latin typeface="Century Gothic"/>
                        </a:rPr>
                        <a:pPr algn="ctr"/>
                        <a:t>-</a:t>
                      </a:fld>
                      <a:endParaRPr lang="es-CO" sz="4400">
                        <a:solidFill>
                          <a:srgbClr val="FFFF00"/>
                        </a:solidFill>
                      </a:endParaRPr>
                    </a:p>
                  </xdr:txBody>
                </xdr:sp>
              </xdr:grpSp>
              <xdr:grpSp>
                <xdr:nvGrpSpPr>
                  <xdr:cNvPr id="35" name="Grupo 34">
                    <a:extLst>
                      <a:ext uri="{FF2B5EF4-FFF2-40B4-BE49-F238E27FC236}">
                        <a16:creationId xmlns:a16="http://schemas.microsoft.com/office/drawing/2014/main" id="{00000000-0008-0000-0900-000023000000}"/>
                      </a:ext>
                    </a:extLst>
                  </xdr:cNvPr>
                  <xdr:cNvGrpSpPr/>
                </xdr:nvGrpSpPr>
                <xdr:grpSpPr>
                  <a:xfrm>
                    <a:off x="8389904" y="16239154"/>
                    <a:ext cx="770852" cy="278575"/>
                    <a:chOff x="8457939" y="16239154"/>
                    <a:chExt cx="770852" cy="278575"/>
                  </a:xfrm>
                </xdr:grpSpPr>
                <xdr:sp macro="" textlink="$K$27">
                  <xdr:nvSpPr>
                    <xdr:cNvPr id="36" name="Rectángulo 35">
                      <a:extLst>
                        <a:ext uri="{FF2B5EF4-FFF2-40B4-BE49-F238E27FC236}">
                          <a16:creationId xmlns:a16="http://schemas.microsoft.com/office/drawing/2014/main" id="{00000000-0008-0000-0900-000024000000}"/>
                        </a:ext>
                      </a:extLst>
                    </xdr:cNvPr>
                    <xdr:cNvSpPr/>
                  </xdr:nvSpPr>
                  <xdr:spPr>
                    <a:xfrm>
                      <a:off x="8482695" y="1624558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92D6DE-30DB-4FCA-B331-013BAE61C8D3}" type="TxLink">
                        <a:rPr lang="en-US" sz="1100" b="1" i="0" u="none" strike="noStrike">
                          <a:solidFill>
                            <a:srgbClr val="FFFF00"/>
                          </a:solidFill>
                          <a:latin typeface="Century Gothic"/>
                        </a:rPr>
                        <a:pPr algn="ctr"/>
                        <a:t>-</a:t>
                      </a:fld>
                      <a:endParaRPr lang="es-CO" sz="4400" b="1">
                        <a:solidFill>
                          <a:srgbClr val="FFFF00"/>
                        </a:solidFill>
                      </a:endParaRPr>
                    </a:p>
                  </xdr:txBody>
                </xdr:sp>
                <xdr:sp macro="" textlink="$J$27">
                  <xdr:nvSpPr>
                    <xdr:cNvPr id="37" name="Rectángulo 36">
                      <a:extLst>
                        <a:ext uri="{FF2B5EF4-FFF2-40B4-BE49-F238E27FC236}">
                          <a16:creationId xmlns:a16="http://schemas.microsoft.com/office/drawing/2014/main" id="{00000000-0008-0000-0900-000025000000}"/>
                        </a:ext>
                      </a:extLst>
                    </xdr:cNvPr>
                    <xdr:cNvSpPr/>
                  </xdr:nvSpPr>
                  <xdr:spPr>
                    <a:xfrm>
                      <a:off x="8758790" y="1624558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9433F7E-8FEF-4F4E-B759-A03E967583E2}" type="TxLink">
                        <a:rPr lang="en-US" sz="1100" b="1" i="0" u="none" strike="noStrike">
                          <a:solidFill>
                            <a:srgbClr val="FFFF00"/>
                          </a:solidFill>
                          <a:latin typeface="Century Gothic"/>
                        </a:rPr>
                        <a:pPr algn="ctr"/>
                        <a:t>0</a:t>
                      </a:fld>
                      <a:endParaRPr lang="es-CO" sz="4400" b="1">
                        <a:solidFill>
                          <a:srgbClr val="FFFF00"/>
                        </a:solidFill>
                      </a:endParaRPr>
                    </a:p>
                  </xdr:txBody>
                </xdr:sp>
                <xdr:sp macro="" textlink="">
                  <xdr:nvSpPr>
                    <xdr:cNvPr id="38" name="CuadroTexto 37">
                      <a:extLst>
                        <a:ext uri="{FF2B5EF4-FFF2-40B4-BE49-F238E27FC236}">
                          <a16:creationId xmlns:a16="http://schemas.microsoft.com/office/drawing/2014/main" id="{00000000-0008-0000-0900-000026000000}"/>
                        </a:ext>
                      </a:extLst>
                    </xdr:cNvPr>
                    <xdr:cNvSpPr txBox="1"/>
                  </xdr:nvSpPr>
                  <xdr:spPr>
                    <a:xfrm>
                      <a:off x="8457939" y="162391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10" name="Grupo 9">
                <a:extLst>
                  <a:ext uri="{FF2B5EF4-FFF2-40B4-BE49-F238E27FC236}">
                    <a16:creationId xmlns:a16="http://schemas.microsoft.com/office/drawing/2014/main" id="{00000000-0008-0000-0900-00000A000000}"/>
                  </a:ext>
                </a:extLst>
              </xdr:cNvPr>
              <xdr:cNvGrpSpPr/>
            </xdr:nvGrpSpPr>
            <xdr:grpSpPr>
              <a:xfrm>
                <a:off x="376735" y="16757552"/>
                <a:ext cx="6959058" cy="1639730"/>
                <a:chOff x="376735" y="16757552"/>
                <a:chExt cx="6959058" cy="1639730"/>
              </a:xfrm>
            </xdr:grpSpPr>
            <xdr:grpSp>
              <xdr:nvGrpSpPr>
                <xdr:cNvPr id="11" name="Grupo 10">
                  <a:extLst>
                    <a:ext uri="{FF2B5EF4-FFF2-40B4-BE49-F238E27FC236}">
                      <a16:creationId xmlns:a16="http://schemas.microsoft.com/office/drawing/2014/main" id="{00000000-0008-0000-0900-00000B000000}"/>
                    </a:ext>
                  </a:extLst>
                </xdr:cNvPr>
                <xdr:cNvGrpSpPr/>
              </xdr:nvGrpSpPr>
              <xdr:grpSpPr>
                <a:xfrm>
                  <a:off x="376735" y="16757552"/>
                  <a:ext cx="719839" cy="1639730"/>
                  <a:chOff x="27391177" y="8406495"/>
                  <a:chExt cx="720001" cy="1610348"/>
                </a:xfrm>
              </xdr:grpSpPr>
              <xdr:sp macro="" textlink="">
                <xdr:nvSpPr>
                  <xdr:cNvPr id="22" name="Rectángulo 21">
                    <a:extLst>
                      <a:ext uri="{FF2B5EF4-FFF2-40B4-BE49-F238E27FC236}">
                        <a16:creationId xmlns:a16="http://schemas.microsoft.com/office/drawing/2014/main" id="{00000000-0008-0000-0900-000016000000}"/>
                      </a:ext>
                    </a:extLst>
                  </xdr:cNvPr>
                  <xdr:cNvSpPr/>
                </xdr:nvSpPr>
                <xdr:spPr>
                  <a:xfrm>
                    <a:off x="27391177" y="8504462"/>
                    <a:ext cx="720001"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3" name="CuadroTexto 22">
                    <a:extLst>
                      <a:ext uri="{FF2B5EF4-FFF2-40B4-BE49-F238E27FC236}">
                        <a16:creationId xmlns:a16="http://schemas.microsoft.com/office/drawing/2014/main" id="{00000000-0008-0000-0900-000017000000}"/>
                      </a:ext>
                    </a:extLst>
                  </xdr:cNvPr>
                  <xdr:cNvSpPr txBox="1"/>
                </xdr:nvSpPr>
                <xdr:spPr>
                  <a:xfrm rot="16200000">
                    <a:off x="26944306"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12" name="Flecha abajo 11">
                  <a:extLst>
                    <a:ext uri="{FF2B5EF4-FFF2-40B4-BE49-F238E27FC236}">
                      <a16:creationId xmlns:a16="http://schemas.microsoft.com/office/drawing/2014/main" id="{00000000-0008-0000-0900-00000C000000}"/>
                    </a:ext>
                  </a:extLst>
                </xdr:cNvPr>
                <xdr:cNvSpPr/>
              </xdr:nvSpPr>
              <xdr:spPr>
                <a:xfrm rot="10800000">
                  <a:off x="5788509" y="16877184"/>
                  <a:ext cx="467895" cy="293255"/>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3" name="Grupo 12">
                  <a:extLst>
                    <a:ext uri="{FF2B5EF4-FFF2-40B4-BE49-F238E27FC236}">
                      <a16:creationId xmlns:a16="http://schemas.microsoft.com/office/drawing/2014/main" id="{00000000-0008-0000-0900-00000D000000}"/>
                    </a:ext>
                  </a:extLst>
                </xdr:cNvPr>
                <xdr:cNvGrpSpPr/>
              </xdr:nvGrpSpPr>
              <xdr:grpSpPr>
                <a:xfrm>
                  <a:off x="5176276" y="17297903"/>
                  <a:ext cx="2159517" cy="733137"/>
                  <a:chOff x="5176151" y="17068783"/>
                  <a:chExt cx="2160000" cy="720000"/>
                </a:xfrm>
              </xdr:grpSpPr>
              <xdr:grpSp>
                <xdr:nvGrpSpPr>
                  <xdr:cNvPr id="14" name="Grupo 13">
                    <a:extLst>
                      <a:ext uri="{FF2B5EF4-FFF2-40B4-BE49-F238E27FC236}">
                        <a16:creationId xmlns:a16="http://schemas.microsoft.com/office/drawing/2014/main" id="{00000000-0008-0000-0900-00000E000000}"/>
                      </a:ext>
                    </a:extLst>
                  </xdr:cNvPr>
                  <xdr:cNvGrpSpPr/>
                </xdr:nvGrpSpPr>
                <xdr:grpSpPr>
                  <a:xfrm>
                    <a:off x="5176151" y="17068783"/>
                    <a:ext cx="2160000" cy="720000"/>
                    <a:chOff x="28351843" y="12458683"/>
                    <a:chExt cx="2160000" cy="720000"/>
                  </a:xfrm>
                </xdr:grpSpPr>
                <xdr:sp macro="" textlink="">
                  <xdr:nvSpPr>
                    <xdr:cNvPr id="19" name="Cheurón 18">
                      <a:extLst>
                        <a:ext uri="{FF2B5EF4-FFF2-40B4-BE49-F238E27FC236}">
                          <a16:creationId xmlns:a16="http://schemas.microsoft.com/office/drawing/2014/main" id="{00000000-0008-0000-0900-00001300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 name="CuadroTexto 19">
                      <a:extLst>
                        <a:ext uri="{FF2B5EF4-FFF2-40B4-BE49-F238E27FC236}">
                          <a16:creationId xmlns:a16="http://schemas.microsoft.com/office/drawing/2014/main" id="{00000000-0008-0000-0900-000014000000}"/>
                        </a:ext>
                      </a:extLst>
                    </xdr:cNvPr>
                    <xdr:cNvSpPr txBox="1"/>
                  </xdr:nvSpPr>
                  <xdr:spPr>
                    <a:xfrm>
                      <a:off x="28483071" y="12464143"/>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S$28">
                  <xdr:nvSpPr>
                    <xdr:cNvPr id="21" name="Rectángulo redondeado 20">
                      <a:extLst>
                        <a:ext uri="{FF2B5EF4-FFF2-40B4-BE49-F238E27FC236}">
                          <a16:creationId xmlns:a16="http://schemas.microsoft.com/office/drawing/2014/main" id="{00000000-0008-0000-0900-000015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919415C-C649-4334-9208-BA429D4406BD}" type="TxLink">
                        <a:rPr lang="en-US" sz="1600" b="1" i="0" u="none" strike="noStrike">
                          <a:solidFill>
                            <a:schemeClr val="tx1">
                              <a:lumMod val="95000"/>
                              <a:lumOff val="5000"/>
                            </a:schemeClr>
                          </a:solidFill>
                          <a:latin typeface="Century Gothic"/>
                        </a:rPr>
                        <a:pPr algn="ctr"/>
                        <a:t>-</a:t>
                      </a:fld>
                      <a:endParaRPr lang="es-CO" sz="5400">
                        <a:solidFill>
                          <a:schemeClr val="tx1">
                            <a:lumMod val="95000"/>
                            <a:lumOff val="5000"/>
                          </a:schemeClr>
                        </a:solidFill>
                      </a:endParaRPr>
                    </a:p>
                  </xdr:txBody>
                </xdr:sp>
              </xdr:grpSp>
              <xdr:grpSp>
                <xdr:nvGrpSpPr>
                  <xdr:cNvPr id="15" name="Grupo 14">
                    <a:extLst>
                      <a:ext uri="{FF2B5EF4-FFF2-40B4-BE49-F238E27FC236}">
                        <a16:creationId xmlns:a16="http://schemas.microsoft.com/office/drawing/2014/main" id="{00000000-0008-0000-0900-00000F000000}"/>
                      </a:ext>
                    </a:extLst>
                  </xdr:cNvPr>
                  <xdr:cNvGrpSpPr/>
                </xdr:nvGrpSpPr>
                <xdr:grpSpPr>
                  <a:xfrm>
                    <a:off x="6439138" y="17482509"/>
                    <a:ext cx="770852" cy="276193"/>
                    <a:chOff x="6439138" y="17482509"/>
                    <a:chExt cx="770852" cy="276193"/>
                  </a:xfrm>
                </xdr:grpSpPr>
                <xdr:sp macro="" textlink="$K$28">
                  <xdr:nvSpPr>
                    <xdr:cNvPr id="16" name="Rectángulo 15">
                      <a:extLst>
                        <a:ext uri="{FF2B5EF4-FFF2-40B4-BE49-F238E27FC236}">
                          <a16:creationId xmlns:a16="http://schemas.microsoft.com/office/drawing/2014/main" id="{00000000-0008-0000-0900-000010000000}"/>
                        </a:ext>
                      </a:extLst>
                    </xdr:cNvPr>
                    <xdr:cNvSpPr/>
                  </xdr:nvSpPr>
                  <xdr:spPr>
                    <a:xfrm>
                      <a:off x="6457957" y="1748655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590A664-5B50-42CD-8CC9-9E947BC8336C}" type="TxLink">
                        <a:rPr lang="en-US" sz="1100" b="1" i="0" u="none" strike="noStrike">
                          <a:solidFill>
                            <a:schemeClr val="tx1">
                              <a:lumMod val="95000"/>
                              <a:lumOff val="5000"/>
                            </a:schemeClr>
                          </a:solidFill>
                          <a:latin typeface="Century Gothic"/>
                        </a:rPr>
                        <a:pPr algn="ctr"/>
                        <a:t>-</a:t>
                      </a:fld>
                      <a:endParaRPr lang="es-CO" sz="4400" b="1">
                        <a:solidFill>
                          <a:schemeClr val="tx1">
                            <a:lumMod val="95000"/>
                            <a:lumOff val="5000"/>
                          </a:schemeClr>
                        </a:solidFill>
                      </a:endParaRPr>
                    </a:p>
                  </xdr:txBody>
                </xdr:sp>
                <xdr:sp macro="" textlink="$J$28">
                  <xdr:nvSpPr>
                    <xdr:cNvPr id="17" name="Rectángulo 16">
                      <a:extLst>
                        <a:ext uri="{FF2B5EF4-FFF2-40B4-BE49-F238E27FC236}">
                          <a16:creationId xmlns:a16="http://schemas.microsoft.com/office/drawing/2014/main" id="{00000000-0008-0000-0900-000011000000}"/>
                        </a:ext>
                      </a:extLst>
                    </xdr:cNvPr>
                    <xdr:cNvSpPr/>
                  </xdr:nvSpPr>
                  <xdr:spPr>
                    <a:xfrm>
                      <a:off x="6734051" y="1748655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4C6EB7-4A0A-4928-8BB8-ADB5DD5EC4CD}" type="TxLink">
                        <a:rPr lang="en-US" sz="1100" b="1" i="0" u="none" strike="noStrike">
                          <a:solidFill>
                            <a:schemeClr val="tx1">
                              <a:lumMod val="95000"/>
                              <a:lumOff val="5000"/>
                            </a:schemeClr>
                          </a:solidFill>
                          <a:latin typeface="Century Gothic"/>
                        </a:rPr>
                        <a:pPr algn="ctr"/>
                        <a:t>0</a:t>
                      </a:fld>
                      <a:endParaRPr lang="es-CO" sz="4400" b="1">
                        <a:solidFill>
                          <a:schemeClr val="tx1">
                            <a:lumMod val="95000"/>
                            <a:lumOff val="5000"/>
                          </a:schemeClr>
                        </a:solidFill>
                      </a:endParaRPr>
                    </a:p>
                  </xdr:txBody>
                </xdr:sp>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6439138" y="1748250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chemeClr val="tx1">
                              <a:lumMod val="95000"/>
                              <a:lumOff val="5000"/>
                            </a:schemeClr>
                          </a:solidFill>
                          <a:latin typeface="Century Gothic" panose="020B0502020202020204" pitchFamily="34" charset="0"/>
                        </a:rPr>
                        <a:t>(</a:t>
                      </a:r>
                      <a:r>
                        <a:rPr lang="es-CO" sz="1100" baseline="0">
                          <a:solidFill>
                            <a:schemeClr val="tx1">
                              <a:lumMod val="95000"/>
                              <a:lumOff val="5000"/>
                            </a:schemeClr>
                          </a:solidFill>
                          <a:latin typeface="Century Gothic" panose="020B0502020202020204" pitchFamily="34" charset="0"/>
                        </a:rPr>
                        <a:t>     /     </a:t>
                      </a:r>
                      <a:r>
                        <a:rPr lang="es-CO" sz="1100">
                          <a:solidFill>
                            <a:schemeClr val="tx1">
                              <a:lumMod val="95000"/>
                              <a:lumOff val="5000"/>
                            </a:schemeClr>
                          </a:solidFill>
                          <a:latin typeface="Century Gothic" panose="020B0502020202020204" pitchFamily="34" charset="0"/>
                        </a:rPr>
                        <a:t>)</a:t>
                      </a:r>
                    </a:p>
                  </xdr:txBody>
                </xdr:sp>
              </xdr:grpSp>
            </xdr:grpSp>
          </xdr:grpSp>
        </xdr:grpSp>
      </xdr:grpSp>
    </xdr:grpSp>
    <xdr:clientData/>
  </xdr:twoCellAnchor>
  <xdr:twoCellAnchor editAs="absolute">
    <xdr:from>
      <xdr:col>21</xdr:col>
      <xdr:colOff>606844</xdr:colOff>
      <xdr:row>34</xdr:row>
      <xdr:rowOff>69261</xdr:rowOff>
    </xdr:from>
    <xdr:to>
      <xdr:col>34</xdr:col>
      <xdr:colOff>312872</xdr:colOff>
      <xdr:row>71</xdr:row>
      <xdr:rowOff>189270</xdr:rowOff>
    </xdr:to>
    <xdr:grpSp>
      <xdr:nvGrpSpPr>
        <xdr:cNvPr id="240" name="Grupo 239">
          <a:extLst>
            <a:ext uri="{FF2B5EF4-FFF2-40B4-BE49-F238E27FC236}">
              <a16:creationId xmlns:a16="http://schemas.microsoft.com/office/drawing/2014/main" id="{00000000-0008-0000-0900-0000F0000000}"/>
            </a:ext>
          </a:extLst>
        </xdr:cNvPr>
        <xdr:cNvGrpSpPr/>
      </xdr:nvGrpSpPr>
      <xdr:grpSpPr>
        <a:xfrm>
          <a:off x="22718451" y="9594261"/>
          <a:ext cx="10986350" cy="7671973"/>
          <a:chOff x="11922544" y="9446079"/>
          <a:chExt cx="11005400" cy="7878801"/>
        </a:xfrm>
      </xdr:grpSpPr>
      <xdr:grpSp>
        <xdr:nvGrpSpPr>
          <xdr:cNvPr id="241" name="Grupo 240">
            <a:extLst>
              <a:ext uri="{FF2B5EF4-FFF2-40B4-BE49-F238E27FC236}">
                <a16:creationId xmlns:a16="http://schemas.microsoft.com/office/drawing/2014/main" id="{00000000-0008-0000-0900-0000F1000000}"/>
              </a:ext>
            </a:extLst>
          </xdr:cNvPr>
          <xdr:cNvGrpSpPr/>
        </xdr:nvGrpSpPr>
        <xdr:grpSpPr>
          <a:xfrm>
            <a:off x="11931653" y="9446079"/>
            <a:ext cx="10943885" cy="849831"/>
            <a:chOff x="11896943" y="10589079"/>
            <a:chExt cx="10912926" cy="842845"/>
          </a:xfrm>
        </xdr:grpSpPr>
        <xdr:sp macro="" textlink="">
          <xdr:nvSpPr>
            <xdr:cNvPr id="471" name="Rectángulo 470">
              <a:extLst>
                <a:ext uri="{FF2B5EF4-FFF2-40B4-BE49-F238E27FC236}">
                  <a16:creationId xmlns:a16="http://schemas.microsoft.com/office/drawing/2014/main" id="{00000000-0008-0000-0900-0000D7010000}"/>
                </a:ext>
              </a:extLst>
            </xdr:cNvPr>
            <xdr:cNvSpPr/>
          </xdr:nvSpPr>
          <xdr:spPr>
            <a:xfrm>
              <a:off x="11896943" y="10589079"/>
              <a:ext cx="9961033" cy="842845"/>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latin typeface="Century Gothic" panose="020B0502020202020204" pitchFamily="34" charset="0"/>
                </a:rPr>
                <a:t>PROPORCION DE OPORTUNIDADES DE MEJORA CERRADAS DE LAS AUDITORÍAS CON ENFOQUE EN RIESGOS, ESE METROSALUD, 2019 - 2023</a:t>
              </a:r>
            </a:p>
          </xdr:txBody>
        </xdr:sp>
        <xdr:grpSp>
          <xdr:nvGrpSpPr>
            <xdr:cNvPr id="472" name="Grupo 471">
              <a:extLst>
                <a:ext uri="{FF2B5EF4-FFF2-40B4-BE49-F238E27FC236}">
                  <a16:creationId xmlns:a16="http://schemas.microsoft.com/office/drawing/2014/main" id="{00000000-0008-0000-0900-0000D8010000}"/>
                </a:ext>
              </a:extLst>
            </xdr:cNvPr>
            <xdr:cNvGrpSpPr/>
          </xdr:nvGrpSpPr>
          <xdr:grpSpPr>
            <a:xfrm>
              <a:off x="21896706" y="10589079"/>
              <a:ext cx="913163" cy="842845"/>
              <a:chOff x="21896706" y="10589079"/>
              <a:chExt cx="913163" cy="842845"/>
            </a:xfrm>
          </xdr:grpSpPr>
          <xdr:sp macro="" textlink="$W$32">
            <xdr:nvSpPr>
              <xdr:cNvPr id="473" name="Rectángulo 472">
                <a:extLst>
                  <a:ext uri="{FF2B5EF4-FFF2-40B4-BE49-F238E27FC236}">
                    <a16:creationId xmlns:a16="http://schemas.microsoft.com/office/drawing/2014/main" id="{00000000-0008-0000-0900-0000D9010000}"/>
                  </a:ext>
                </a:extLst>
              </xdr:cNvPr>
              <xdr:cNvSpPr/>
            </xdr:nvSpPr>
            <xdr:spPr>
              <a:xfrm>
                <a:off x="21896706"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BDB602-5289-402C-ADEE-C9F1A500DA2A}" type="TxLink">
                  <a:rPr lang="en-US" sz="1800" b="1" i="0" u="none" strike="noStrike">
                    <a:solidFill>
                      <a:srgbClr val="000000"/>
                    </a:solidFill>
                    <a:latin typeface="Century Gothic"/>
                  </a:rPr>
                  <a:pPr algn="ctr"/>
                  <a:t>10,1%</a:t>
                </a:fld>
                <a:endParaRPr lang="es-CO" sz="7200">
                  <a:solidFill>
                    <a:schemeClr val="tx1">
                      <a:lumMod val="95000"/>
                      <a:lumOff val="5000"/>
                    </a:schemeClr>
                  </a:solidFill>
                </a:endParaRPr>
              </a:p>
            </xdr:txBody>
          </xdr:sp>
          <xdr:grpSp>
            <xdr:nvGrpSpPr>
              <xdr:cNvPr id="474" name="Grupo 473">
                <a:extLst>
                  <a:ext uri="{FF2B5EF4-FFF2-40B4-BE49-F238E27FC236}">
                    <a16:creationId xmlns:a16="http://schemas.microsoft.com/office/drawing/2014/main" id="{00000000-0008-0000-0900-0000DA010000}"/>
                  </a:ext>
                </a:extLst>
              </xdr:cNvPr>
              <xdr:cNvGrpSpPr/>
            </xdr:nvGrpSpPr>
            <xdr:grpSpPr>
              <a:xfrm>
                <a:off x="21897657" y="11129222"/>
                <a:ext cx="898782" cy="285385"/>
                <a:chOff x="21897657" y="11129222"/>
                <a:chExt cx="898782" cy="285385"/>
              </a:xfrm>
            </xdr:grpSpPr>
            <xdr:sp macro="" textlink="$R$32">
              <xdr:nvSpPr>
                <xdr:cNvPr id="475" name="Rectángulo 474">
                  <a:extLst>
                    <a:ext uri="{FF2B5EF4-FFF2-40B4-BE49-F238E27FC236}">
                      <a16:creationId xmlns:a16="http://schemas.microsoft.com/office/drawing/2014/main" id="{00000000-0008-0000-0900-0000DB01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73493F-3060-41AA-89CB-5219DB8E2E44}" type="TxLink">
                    <a:rPr lang="en-US" sz="1100" b="1" i="0" u="none" strike="noStrike">
                      <a:solidFill>
                        <a:srgbClr val="000000"/>
                      </a:solidFill>
                      <a:latin typeface="Century Gothic"/>
                    </a:rPr>
                    <a:pPr algn="ctr"/>
                    <a:t>41</a:t>
                  </a:fld>
                  <a:endParaRPr lang="es-CO" sz="1100">
                    <a:solidFill>
                      <a:schemeClr val="tx1">
                        <a:lumMod val="95000"/>
                        <a:lumOff val="5000"/>
                      </a:schemeClr>
                    </a:solidFill>
                  </a:endParaRPr>
                </a:p>
              </xdr:txBody>
            </xdr:sp>
            <xdr:sp macro="" textlink="">
              <xdr:nvSpPr>
                <xdr:cNvPr id="476" name="CuadroTexto 475">
                  <a:extLst>
                    <a:ext uri="{FF2B5EF4-FFF2-40B4-BE49-F238E27FC236}">
                      <a16:creationId xmlns:a16="http://schemas.microsoft.com/office/drawing/2014/main" id="{00000000-0008-0000-0900-0000DC010000}"/>
                    </a:ext>
                  </a:extLst>
                </xdr:cNvPr>
                <xdr:cNvSpPr txBox="1"/>
              </xdr:nvSpPr>
              <xdr:spPr>
                <a:xfrm>
                  <a:off x="21897657" y="11129222"/>
                  <a:ext cx="898782" cy="269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latin typeface="Century Gothic" panose="020B0502020202020204" pitchFamily="34" charset="0"/>
                    </a:rPr>
                    <a:t>(       /  </a:t>
                  </a:r>
                  <a:r>
                    <a:rPr lang="es-CO" sz="1100" i="0" baseline="0">
                      <a:latin typeface="Century Gothic" panose="020B0502020202020204" pitchFamily="34" charset="0"/>
                    </a:rPr>
                    <a:t>      </a:t>
                  </a:r>
                  <a:r>
                    <a:rPr lang="es-CO" sz="1100" i="0">
                      <a:latin typeface="Century Gothic" panose="020B0502020202020204" pitchFamily="34" charset="0"/>
                    </a:rPr>
                    <a:t>)</a:t>
                  </a:r>
                </a:p>
              </xdr:txBody>
            </xdr:sp>
            <xdr:sp macro="" textlink="$L$32">
              <xdr:nvSpPr>
                <xdr:cNvPr id="477" name="Rectángulo 476">
                  <a:extLst>
                    <a:ext uri="{FF2B5EF4-FFF2-40B4-BE49-F238E27FC236}">
                      <a16:creationId xmlns:a16="http://schemas.microsoft.com/office/drawing/2014/main" id="{00000000-0008-0000-0900-0000DD01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C3F159-7729-4C43-94CB-D1039B7E5B96}" type="TxLink">
                    <a:rPr lang="en-US" sz="1100" b="1" i="0" u="none" strike="noStrike">
                      <a:solidFill>
                        <a:srgbClr val="000000"/>
                      </a:solidFill>
                      <a:latin typeface="Century Gothic"/>
                    </a:rPr>
                    <a:pPr algn="ctr"/>
                    <a:t>404</a:t>
                  </a:fld>
                  <a:endParaRPr lang="es-CO" sz="1100">
                    <a:solidFill>
                      <a:schemeClr val="tx1">
                        <a:lumMod val="95000"/>
                        <a:lumOff val="5000"/>
                      </a:schemeClr>
                    </a:solidFill>
                  </a:endParaRPr>
                </a:p>
              </xdr:txBody>
            </xdr:sp>
          </xdr:grpSp>
        </xdr:grpSp>
      </xdr:grpSp>
      <xdr:grpSp>
        <xdr:nvGrpSpPr>
          <xdr:cNvPr id="242" name="Grupo 241">
            <a:extLst>
              <a:ext uri="{FF2B5EF4-FFF2-40B4-BE49-F238E27FC236}">
                <a16:creationId xmlns:a16="http://schemas.microsoft.com/office/drawing/2014/main" id="{00000000-0008-0000-0900-0000F2000000}"/>
              </a:ext>
            </a:extLst>
          </xdr:cNvPr>
          <xdr:cNvGrpSpPr/>
        </xdr:nvGrpSpPr>
        <xdr:grpSpPr>
          <a:xfrm>
            <a:off x="11922544" y="10411458"/>
            <a:ext cx="11005400" cy="6913422"/>
            <a:chOff x="11922544" y="10411458"/>
            <a:chExt cx="11005400" cy="6913422"/>
          </a:xfrm>
        </xdr:grpSpPr>
        <xdr:sp macro="" textlink="">
          <xdr:nvSpPr>
            <xdr:cNvPr id="243" name="Rectángulo redondeado 242">
              <a:extLst>
                <a:ext uri="{FF2B5EF4-FFF2-40B4-BE49-F238E27FC236}">
                  <a16:creationId xmlns:a16="http://schemas.microsoft.com/office/drawing/2014/main" id="{00000000-0008-0000-0900-0000F3000000}"/>
                </a:ext>
              </a:extLst>
            </xdr:cNvPr>
            <xdr:cNvSpPr/>
          </xdr:nvSpPr>
          <xdr:spPr>
            <a:xfrm>
              <a:off x="11922544" y="10411458"/>
              <a:ext cx="11005400" cy="6913422"/>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44" name="Grupo 243">
              <a:extLst>
                <a:ext uri="{FF2B5EF4-FFF2-40B4-BE49-F238E27FC236}">
                  <a16:creationId xmlns:a16="http://schemas.microsoft.com/office/drawing/2014/main" id="{00000000-0008-0000-0900-0000F4000000}"/>
                </a:ext>
              </a:extLst>
            </xdr:cNvPr>
            <xdr:cNvGrpSpPr/>
          </xdr:nvGrpSpPr>
          <xdr:grpSpPr>
            <a:xfrm>
              <a:off x="12031390" y="10425193"/>
              <a:ext cx="10712849" cy="1653631"/>
              <a:chOff x="11996402" y="11560135"/>
              <a:chExt cx="10682546" cy="1640036"/>
            </a:xfrm>
          </xdr:grpSpPr>
          <xdr:grpSp>
            <xdr:nvGrpSpPr>
              <xdr:cNvPr id="430" name="Grupo 429">
                <a:extLst>
                  <a:ext uri="{FF2B5EF4-FFF2-40B4-BE49-F238E27FC236}">
                    <a16:creationId xmlns:a16="http://schemas.microsoft.com/office/drawing/2014/main" id="{00000000-0008-0000-0900-0000AE010000}"/>
                  </a:ext>
                </a:extLst>
              </xdr:cNvPr>
              <xdr:cNvGrpSpPr/>
            </xdr:nvGrpSpPr>
            <xdr:grpSpPr>
              <a:xfrm>
                <a:off x="11996402" y="11560135"/>
                <a:ext cx="719624" cy="1640036"/>
                <a:chOff x="27415305" y="8324853"/>
                <a:chExt cx="719624" cy="1610348"/>
              </a:xfrm>
            </xdr:grpSpPr>
            <xdr:sp macro="" textlink="">
              <xdr:nvSpPr>
                <xdr:cNvPr id="469" name="Rectángulo 468">
                  <a:extLst>
                    <a:ext uri="{FF2B5EF4-FFF2-40B4-BE49-F238E27FC236}">
                      <a16:creationId xmlns:a16="http://schemas.microsoft.com/office/drawing/2014/main" id="{00000000-0008-0000-0900-0000D5010000}"/>
                    </a:ext>
                  </a:extLst>
                </xdr:cNvPr>
                <xdr:cNvSpPr/>
              </xdr:nvSpPr>
              <xdr:spPr>
                <a:xfrm>
                  <a:off x="27415305" y="8450034"/>
                  <a:ext cx="719624"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70" name="CuadroTexto 469">
                  <a:extLst>
                    <a:ext uri="{FF2B5EF4-FFF2-40B4-BE49-F238E27FC236}">
                      <a16:creationId xmlns:a16="http://schemas.microsoft.com/office/drawing/2014/main" id="{00000000-0008-0000-0900-0000D6010000}"/>
                    </a:ext>
                  </a:extLst>
                </xdr:cNvPr>
                <xdr:cNvSpPr txBox="1"/>
              </xdr:nvSpPr>
              <xdr:spPr>
                <a:xfrm rot="16200000">
                  <a:off x="26948833"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sp macro="" textlink="">
            <xdr:nvSpPr>
              <xdr:cNvPr id="431" name="Flecha abajo 430">
                <a:extLst>
                  <a:ext uri="{FF2B5EF4-FFF2-40B4-BE49-F238E27FC236}">
                    <a16:creationId xmlns:a16="http://schemas.microsoft.com/office/drawing/2014/main" id="{00000000-0008-0000-0900-0000AF010000}"/>
                  </a:ext>
                </a:extLst>
              </xdr:cNvPr>
              <xdr:cNvSpPr/>
            </xdr:nvSpPr>
            <xdr:spPr>
              <a:xfrm>
                <a:off x="17372127" y="12875080"/>
                <a:ext cx="468000" cy="291710"/>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32" name="Grupo 431">
                <a:extLst>
                  <a:ext uri="{FF2B5EF4-FFF2-40B4-BE49-F238E27FC236}">
                    <a16:creationId xmlns:a16="http://schemas.microsoft.com/office/drawing/2014/main" id="{00000000-0008-0000-0900-0000B0010000}"/>
                  </a:ext>
                </a:extLst>
              </xdr:cNvPr>
              <xdr:cNvGrpSpPr/>
            </xdr:nvGrpSpPr>
            <xdr:grpSpPr>
              <a:xfrm>
                <a:off x="12791456" y="12043791"/>
                <a:ext cx="2623086" cy="750638"/>
                <a:chOff x="12791456" y="12043791"/>
                <a:chExt cx="2623086" cy="750638"/>
              </a:xfrm>
            </xdr:grpSpPr>
            <xdr:grpSp>
              <xdr:nvGrpSpPr>
                <xdr:cNvPr id="460" name="Grupo 459">
                  <a:extLst>
                    <a:ext uri="{FF2B5EF4-FFF2-40B4-BE49-F238E27FC236}">
                      <a16:creationId xmlns:a16="http://schemas.microsoft.com/office/drawing/2014/main" id="{00000000-0008-0000-0900-0000CC010000}"/>
                    </a:ext>
                  </a:extLst>
                </xdr:cNvPr>
                <xdr:cNvGrpSpPr/>
              </xdr:nvGrpSpPr>
              <xdr:grpSpPr>
                <a:xfrm>
                  <a:off x="12791456" y="12043791"/>
                  <a:ext cx="2623086" cy="734845"/>
                  <a:chOff x="12791456" y="12043791"/>
                  <a:chExt cx="2623086" cy="734845"/>
                </a:xfrm>
              </xdr:grpSpPr>
              <xdr:grpSp>
                <xdr:nvGrpSpPr>
                  <xdr:cNvPr id="465" name="Grupo 464">
                    <a:extLst>
                      <a:ext uri="{FF2B5EF4-FFF2-40B4-BE49-F238E27FC236}">
                        <a16:creationId xmlns:a16="http://schemas.microsoft.com/office/drawing/2014/main" id="{00000000-0008-0000-0900-0000D1010000}"/>
                      </a:ext>
                    </a:extLst>
                  </xdr:cNvPr>
                  <xdr:cNvGrpSpPr/>
                </xdr:nvGrpSpPr>
                <xdr:grpSpPr>
                  <a:xfrm>
                    <a:off x="12791456" y="12043791"/>
                    <a:ext cx="2623086" cy="734845"/>
                    <a:chOff x="12791456" y="12043791"/>
                    <a:chExt cx="2623086" cy="734845"/>
                  </a:xfrm>
                </xdr:grpSpPr>
                <xdr:sp macro="" textlink="">
                  <xdr:nvSpPr>
                    <xdr:cNvPr id="467" name="Cheurón 466">
                      <a:extLst>
                        <a:ext uri="{FF2B5EF4-FFF2-40B4-BE49-F238E27FC236}">
                          <a16:creationId xmlns:a16="http://schemas.microsoft.com/office/drawing/2014/main" id="{00000000-0008-0000-0900-0000D3010000}"/>
                        </a:ext>
                      </a:extLst>
                    </xdr:cNvPr>
                    <xdr:cNvSpPr/>
                  </xdr:nvSpPr>
                  <xdr:spPr>
                    <a:xfrm>
                      <a:off x="12791456" y="12043791"/>
                      <a:ext cx="2623086" cy="734845"/>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68" name="CuadroTexto 467">
                      <a:extLst>
                        <a:ext uri="{FF2B5EF4-FFF2-40B4-BE49-F238E27FC236}">
                          <a16:creationId xmlns:a16="http://schemas.microsoft.com/office/drawing/2014/main" id="{00000000-0008-0000-0900-0000D4010000}"/>
                        </a:ext>
                      </a:extLst>
                    </xdr:cNvPr>
                    <xdr:cNvSpPr txBox="1"/>
                  </xdr:nvSpPr>
                  <xdr:spPr>
                    <a:xfrm>
                      <a:off x="12990347" y="12201748"/>
                      <a:ext cx="1710407" cy="44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grpSp>
              <xdr:sp macro="" textlink="$W$6">
                <xdr:nvSpPr>
                  <xdr:cNvPr id="466" name="Rectángulo redondeado 465">
                    <a:extLst>
                      <a:ext uri="{FF2B5EF4-FFF2-40B4-BE49-F238E27FC236}">
                        <a16:creationId xmlns:a16="http://schemas.microsoft.com/office/drawing/2014/main" id="{00000000-0008-0000-0900-0000D2010000}"/>
                      </a:ext>
                    </a:extLst>
                  </xdr:cNvPr>
                  <xdr:cNvSpPr/>
                </xdr:nvSpPr>
                <xdr:spPr>
                  <a:xfrm>
                    <a:off x="14462512" y="12157963"/>
                    <a:ext cx="934250" cy="5126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01D60D-B338-4374-B3D9-1553B46C283B}" type="TxLink">
                      <a:rPr lang="en-US" sz="1600" b="1" i="0" u="none" strike="noStrike">
                        <a:solidFill>
                          <a:srgbClr val="FFFF00"/>
                        </a:solidFill>
                        <a:latin typeface="Century Gothic"/>
                      </a:rPr>
                      <a:pPr algn="ctr"/>
                      <a:t>0,0%</a:t>
                    </a:fld>
                    <a:endParaRPr lang="es-CO" sz="2000">
                      <a:solidFill>
                        <a:srgbClr val="FFFF00"/>
                      </a:solidFill>
                    </a:endParaRPr>
                  </a:p>
                </xdr:txBody>
              </xdr:sp>
            </xdr:grpSp>
            <xdr:grpSp>
              <xdr:nvGrpSpPr>
                <xdr:cNvPr id="461" name="Grupo 460">
                  <a:extLst>
                    <a:ext uri="{FF2B5EF4-FFF2-40B4-BE49-F238E27FC236}">
                      <a16:creationId xmlns:a16="http://schemas.microsoft.com/office/drawing/2014/main" id="{00000000-0008-0000-0900-0000CD010000}"/>
                    </a:ext>
                  </a:extLst>
                </xdr:cNvPr>
                <xdr:cNvGrpSpPr/>
              </xdr:nvGrpSpPr>
              <xdr:grpSpPr>
                <a:xfrm>
                  <a:off x="14440611" y="12513585"/>
                  <a:ext cx="828000" cy="280844"/>
                  <a:chOff x="14427220" y="12646387"/>
                  <a:chExt cx="828000" cy="280844"/>
                </a:xfrm>
              </xdr:grpSpPr>
              <xdr:sp macro="" textlink="$R$6">
                <xdr:nvSpPr>
                  <xdr:cNvPr id="462" name="Rectángulo 461">
                    <a:extLst>
                      <a:ext uri="{FF2B5EF4-FFF2-40B4-BE49-F238E27FC236}">
                        <a16:creationId xmlns:a16="http://schemas.microsoft.com/office/drawing/2014/main" id="{00000000-0008-0000-0900-0000CE010000}"/>
                      </a:ext>
                    </a:extLst>
                  </xdr:cNvPr>
                  <xdr:cNvSpPr/>
                </xdr:nvSpPr>
                <xdr:spPr>
                  <a:xfrm>
                    <a:off x="14492534"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EA52D3B-97F3-4073-8825-C8ADAAC75FE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6">
                <xdr:nvSpPr>
                  <xdr:cNvPr id="463" name="Rectángulo 462">
                    <a:extLst>
                      <a:ext uri="{FF2B5EF4-FFF2-40B4-BE49-F238E27FC236}">
                        <a16:creationId xmlns:a16="http://schemas.microsoft.com/office/drawing/2014/main" id="{00000000-0008-0000-0900-0000CF010000}"/>
                      </a:ext>
                    </a:extLst>
                  </xdr:cNvPr>
                  <xdr:cNvSpPr/>
                </xdr:nvSpPr>
                <xdr:spPr>
                  <a:xfrm>
                    <a:off x="14787189"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3D980C5-E4DB-4679-98A6-B072E20886D7}" type="TxLink">
                      <a:rPr lang="en-US" sz="1100" b="1" i="0" u="none" strike="noStrike">
                        <a:solidFill>
                          <a:srgbClr val="FFFF00"/>
                        </a:solidFill>
                        <a:latin typeface="Century Gothic"/>
                      </a:rPr>
                      <a:pPr algn="ctr"/>
                      <a:t>7</a:t>
                    </a:fld>
                    <a:endParaRPr lang="es-CO" sz="1100" b="1">
                      <a:solidFill>
                        <a:srgbClr val="FFFF00"/>
                      </a:solidFill>
                    </a:endParaRPr>
                  </a:p>
                </xdr:txBody>
              </xdr:sp>
              <xdr:sp macro="" textlink="">
                <xdr:nvSpPr>
                  <xdr:cNvPr id="464" name="CuadroTexto 463">
                    <a:extLst>
                      <a:ext uri="{FF2B5EF4-FFF2-40B4-BE49-F238E27FC236}">
                        <a16:creationId xmlns:a16="http://schemas.microsoft.com/office/drawing/2014/main" id="{00000000-0008-0000-0900-0000D0010000}"/>
                      </a:ext>
                    </a:extLst>
                  </xdr:cNvPr>
                  <xdr:cNvSpPr txBox="1"/>
                </xdr:nvSpPr>
                <xdr:spPr>
                  <a:xfrm>
                    <a:off x="14427220" y="12646387"/>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33" name="Grupo 432">
                <a:extLst>
                  <a:ext uri="{FF2B5EF4-FFF2-40B4-BE49-F238E27FC236}">
                    <a16:creationId xmlns:a16="http://schemas.microsoft.com/office/drawing/2014/main" id="{00000000-0008-0000-0900-0000B1010000}"/>
                  </a:ext>
                </a:extLst>
              </xdr:cNvPr>
              <xdr:cNvGrpSpPr/>
            </xdr:nvGrpSpPr>
            <xdr:grpSpPr>
              <a:xfrm>
                <a:off x="15211291" y="12043791"/>
                <a:ext cx="2628002" cy="750638"/>
                <a:chOff x="15211291" y="12043791"/>
                <a:chExt cx="2628002" cy="750638"/>
              </a:xfrm>
            </xdr:grpSpPr>
            <xdr:grpSp>
              <xdr:nvGrpSpPr>
                <xdr:cNvPr id="452" name="Grupo 451">
                  <a:extLst>
                    <a:ext uri="{FF2B5EF4-FFF2-40B4-BE49-F238E27FC236}">
                      <a16:creationId xmlns:a16="http://schemas.microsoft.com/office/drawing/2014/main" id="{00000000-0008-0000-0900-0000C4010000}"/>
                    </a:ext>
                  </a:extLst>
                </xdr:cNvPr>
                <xdr:cNvGrpSpPr/>
              </xdr:nvGrpSpPr>
              <xdr:grpSpPr>
                <a:xfrm>
                  <a:off x="15211291" y="12043791"/>
                  <a:ext cx="2628002" cy="734845"/>
                  <a:chOff x="28594637" y="2081892"/>
                  <a:chExt cx="2433637" cy="585107"/>
                </a:xfrm>
              </xdr:grpSpPr>
              <xdr:sp macro="" textlink="">
                <xdr:nvSpPr>
                  <xdr:cNvPr id="457" name="Cheurón 456">
                    <a:extLst>
                      <a:ext uri="{FF2B5EF4-FFF2-40B4-BE49-F238E27FC236}">
                        <a16:creationId xmlns:a16="http://schemas.microsoft.com/office/drawing/2014/main" id="{00000000-0008-0000-0900-0000C901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58" name="CuadroTexto 457">
                    <a:extLst>
                      <a:ext uri="{FF2B5EF4-FFF2-40B4-BE49-F238E27FC236}">
                        <a16:creationId xmlns:a16="http://schemas.microsoft.com/office/drawing/2014/main" id="{00000000-0008-0000-0900-0000CA010000}"/>
                      </a:ext>
                    </a:extLst>
                  </xdr:cNvPr>
                  <xdr:cNvSpPr txBox="1"/>
                </xdr:nvSpPr>
                <xdr:spPr>
                  <a:xfrm>
                    <a:off x="2881925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W$7">
                <xdr:nvSpPr>
                  <xdr:cNvPr id="459" name="Rectángulo redondeado 458">
                    <a:extLst>
                      <a:ext uri="{FF2B5EF4-FFF2-40B4-BE49-F238E27FC236}">
                        <a16:creationId xmlns:a16="http://schemas.microsoft.com/office/drawing/2014/main" id="{00000000-0008-0000-0900-0000CB010000}"/>
                      </a:ext>
                    </a:extLst>
                  </xdr:cNvPr>
                  <xdr:cNvSpPr/>
                </xdr:nvSpPr>
                <xdr:spPr>
                  <a:xfrm>
                    <a:off x="30140480" y="2172799"/>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F34F973-5D83-4A9A-83AE-0C4B614CCB72}" type="TxLink">
                      <a:rPr lang="en-US" sz="1600" b="1" i="0" u="none" strike="noStrike">
                        <a:solidFill>
                          <a:srgbClr val="FFFF00"/>
                        </a:solidFill>
                        <a:latin typeface="Century Gothic"/>
                      </a:rPr>
                      <a:pPr algn="ctr"/>
                      <a:t>58,3%</a:t>
                    </a:fld>
                    <a:endParaRPr lang="es-CO" sz="2000">
                      <a:solidFill>
                        <a:srgbClr val="FFFF00"/>
                      </a:solidFill>
                    </a:endParaRPr>
                  </a:p>
                </xdr:txBody>
              </xdr:sp>
            </xdr:grpSp>
            <xdr:grpSp>
              <xdr:nvGrpSpPr>
                <xdr:cNvPr id="453" name="Grupo 452">
                  <a:extLst>
                    <a:ext uri="{FF2B5EF4-FFF2-40B4-BE49-F238E27FC236}">
                      <a16:creationId xmlns:a16="http://schemas.microsoft.com/office/drawing/2014/main" id="{00000000-0008-0000-0900-0000C5010000}"/>
                    </a:ext>
                  </a:extLst>
                </xdr:cNvPr>
                <xdr:cNvGrpSpPr/>
              </xdr:nvGrpSpPr>
              <xdr:grpSpPr>
                <a:xfrm>
                  <a:off x="16866173" y="12511855"/>
                  <a:ext cx="828000" cy="282574"/>
                  <a:chOff x="16866173" y="12618680"/>
                  <a:chExt cx="828000" cy="282574"/>
                </a:xfrm>
              </xdr:grpSpPr>
              <xdr:sp macro="" textlink="$R$7">
                <xdr:nvSpPr>
                  <xdr:cNvPr id="454" name="Rectángulo 453">
                    <a:extLst>
                      <a:ext uri="{FF2B5EF4-FFF2-40B4-BE49-F238E27FC236}">
                        <a16:creationId xmlns:a16="http://schemas.microsoft.com/office/drawing/2014/main" id="{00000000-0008-0000-0900-0000C6010000}"/>
                      </a:ext>
                    </a:extLst>
                  </xdr:cNvPr>
                  <xdr:cNvSpPr/>
                </xdr:nvSpPr>
                <xdr:spPr>
                  <a:xfrm>
                    <a:off x="16903592"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63503C0-8456-4376-875E-9AE23EE5EB89}" type="TxLink">
                      <a:rPr lang="en-US" sz="1100" b="1" i="0" u="none" strike="noStrike">
                        <a:solidFill>
                          <a:srgbClr val="FFFF00"/>
                        </a:solidFill>
                        <a:latin typeface="Century Gothic"/>
                      </a:rPr>
                      <a:pPr algn="ctr"/>
                      <a:t>7</a:t>
                    </a:fld>
                    <a:endParaRPr lang="es-CO" sz="1100" b="1">
                      <a:solidFill>
                        <a:srgbClr val="FFFF00"/>
                      </a:solidFill>
                    </a:endParaRPr>
                  </a:p>
                </xdr:txBody>
              </xdr:sp>
              <xdr:sp macro="" textlink="$L$7">
                <xdr:nvSpPr>
                  <xdr:cNvPr id="455" name="Rectángulo 454">
                    <a:extLst>
                      <a:ext uri="{FF2B5EF4-FFF2-40B4-BE49-F238E27FC236}">
                        <a16:creationId xmlns:a16="http://schemas.microsoft.com/office/drawing/2014/main" id="{00000000-0008-0000-0900-0000C7010000}"/>
                      </a:ext>
                    </a:extLst>
                  </xdr:cNvPr>
                  <xdr:cNvSpPr/>
                </xdr:nvSpPr>
                <xdr:spPr>
                  <a:xfrm>
                    <a:off x="17198247"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739E6A-E8A6-4DB4-B440-F7B53EA53E0B}"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
                <xdr:nvSpPr>
                  <xdr:cNvPr id="456" name="CuadroTexto 455">
                    <a:extLst>
                      <a:ext uri="{FF2B5EF4-FFF2-40B4-BE49-F238E27FC236}">
                        <a16:creationId xmlns:a16="http://schemas.microsoft.com/office/drawing/2014/main" id="{00000000-0008-0000-0900-0000C8010000}"/>
                      </a:ext>
                    </a:extLst>
                  </xdr:cNvPr>
                  <xdr:cNvSpPr txBox="1"/>
                </xdr:nvSpPr>
                <xdr:spPr>
                  <a:xfrm>
                    <a:off x="16866173" y="12618680"/>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34" name="Grupo 433">
                <a:extLst>
                  <a:ext uri="{FF2B5EF4-FFF2-40B4-BE49-F238E27FC236}">
                    <a16:creationId xmlns:a16="http://schemas.microsoft.com/office/drawing/2014/main" id="{00000000-0008-0000-0900-0000B2010000}"/>
                  </a:ext>
                </a:extLst>
              </xdr:cNvPr>
              <xdr:cNvGrpSpPr/>
            </xdr:nvGrpSpPr>
            <xdr:grpSpPr>
              <a:xfrm>
                <a:off x="17636047" y="12043791"/>
                <a:ext cx="2623084" cy="755383"/>
                <a:chOff x="17636047" y="12043791"/>
                <a:chExt cx="2623084" cy="755383"/>
              </a:xfrm>
            </xdr:grpSpPr>
            <xdr:grpSp>
              <xdr:nvGrpSpPr>
                <xdr:cNvPr id="444" name="Grupo 443">
                  <a:extLst>
                    <a:ext uri="{FF2B5EF4-FFF2-40B4-BE49-F238E27FC236}">
                      <a16:creationId xmlns:a16="http://schemas.microsoft.com/office/drawing/2014/main" id="{00000000-0008-0000-0900-0000BC010000}"/>
                    </a:ext>
                  </a:extLst>
                </xdr:cNvPr>
                <xdr:cNvGrpSpPr/>
              </xdr:nvGrpSpPr>
              <xdr:grpSpPr>
                <a:xfrm>
                  <a:off x="17636047" y="12043791"/>
                  <a:ext cx="2623084" cy="734845"/>
                  <a:chOff x="28531632" y="2081892"/>
                  <a:chExt cx="2433638" cy="585107"/>
                </a:xfrm>
              </xdr:grpSpPr>
              <xdr:sp macro="" textlink="">
                <xdr:nvSpPr>
                  <xdr:cNvPr id="449" name="Cheurón 448">
                    <a:extLst>
                      <a:ext uri="{FF2B5EF4-FFF2-40B4-BE49-F238E27FC236}">
                        <a16:creationId xmlns:a16="http://schemas.microsoft.com/office/drawing/2014/main" id="{00000000-0008-0000-0900-0000C101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50" name="CuadroTexto 449">
                    <a:extLst>
                      <a:ext uri="{FF2B5EF4-FFF2-40B4-BE49-F238E27FC236}">
                        <a16:creationId xmlns:a16="http://schemas.microsoft.com/office/drawing/2014/main" id="{00000000-0008-0000-0900-0000C2010000}"/>
                      </a:ext>
                    </a:extLst>
                  </xdr:cNvPr>
                  <xdr:cNvSpPr txBox="1"/>
                </xdr:nvSpPr>
                <xdr:spPr>
                  <a:xfrm>
                    <a:off x="28789623" y="2127664"/>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W$8">
                <xdr:nvSpPr>
                  <xdr:cNvPr id="451" name="Rectángulo redondeado 450">
                    <a:extLst>
                      <a:ext uri="{FF2B5EF4-FFF2-40B4-BE49-F238E27FC236}">
                        <a16:creationId xmlns:a16="http://schemas.microsoft.com/office/drawing/2014/main" id="{00000000-0008-0000-0900-0000C3010000}"/>
                      </a:ext>
                    </a:extLst>
                  </xdr:cNvPr>
                  <xdr:cNvSpPr/>
                </xdr:nvSpPr>
                <xdr:spPr>
                  <a:xfrm>
                    <a:off x="300900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8CDF26-B497-4F4C-88EF-7BC47AC9A248}" type="TxLink">
                      <a:rPr lang="en-US" sz="1600" b="1" i="0" u="none" strike="noStrike">
                        <a:solidFill>
                          <a:srgbClr val="FFFF00"/>
                        </a:solidFill>
                        <a:latin typeface="Century Gothic"/>
                      </a:rPr>
                      <a:pPr algn="ctr"/>
                      <a:t>-</a:t>
                    </a:fld>
                    <a:endParaRPr lang="es-CO" sz="3600">
                      <a:solidFill>
                        <a:srgbClr val="FFFF00"/>
                      </a:solidFill>
                    </a:endParaRPr>
                  </a:p>
                </xdr:txBody>
              </xdr:sp>
            </xdr:grpSp>
            <xdr:grpSp>
              <xdr:nvGrpSpPr>
                <xdr:cNvPr id="445" name="Grupo 444">
                  <a:extLst>
                    <a:ext uri="{FF2B5EF4-FFF2-40B4-BE49-F238E27FC236}">
                      <a16:creationId xmlns:a16="http://schemas.microsoft.com/office/drawing/2014/main" id="{00000000-0008-0000-0900-0000BD010000}"/>
                    </a:ext>
                  </a:extLst>
                </xdr:cNvPr>
                <xdr:cNvGrpSpPr/>
              </xdr:nvGrpSpPr>
              <xdr:grpSpPr>
                <a:xfrm>
                  <a:off x="19306363" y="12514864"/>
                  <a:ext cx="828000" cy="284310"/>
                  <a:chOff x="19306363" y="12641831"/>
                  <a:chExt cx="828000" cy="284310"/>
                </a:xfrm>
              </xdr:grpSpPr>
              <xdr:sp macro="" textlink="$R$8">
                <xdr:nvSpPr>
                  <xdr:cNvPr id="446" name="Rectángulo 445">
                    <a:extLst>
                      <a:ext uri="{FF2B5EF4-FFF2-40B4-BE49-F238E27FC236}">
                        <a16:creationId xmlns:a16="http://schemas.microsoft.com/office/drawing/2014/main" id="{00000000-0008-0000-0900-0000BE010000}"/>
                      </a:ext>
                    </a:extLst>
                  </xdr:cNvPr>
                  <xdr:cNvSpPr/>
                </xdr:nvSpPr>
                <xdr:spPr>
                  <a:xfrm>
                    <a:off x="19354359"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0DC61AD-423E-4F41-9802-80AE0BD735AA}"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L$8">
                <xdr:nvSpPr>
                  <xdr:cNvPr id="447" name="Rectángulo 446">
                    <a:extLst>
                      <a:ext uri="{FF2B5EF4-FFF2-40B4-BE49-F238E27FC236}">
                        <a16:creationId xmlns:a16="http://schemas.microsoft.com/office/drawing/2014/main" id="{00000000-0008-0000-0900-0000BF010000}"/>
                      </a:ext>
                    </a:extLst>
                  </xdr:cNvPr>
                  <xdr:cNvSpPr/>
                </xdr:nvSpPr>
                <xdr:spPr>
                  <a:xfrm>
                    <a:off x="19649014"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4224BC8-A84E-4CC7-9402-4E91CABD00F0}"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
                <xdr:nvSpPr>
                  <xdr:cNvPr id="448" name="CuadroTexto 447">
                    <a:extLst>
                      <a:ext uri="{FF2B5EF4-FFF2-40B4-BE49-F238E27FC236}">
                        <a16:creationId xmlns:a16="http://schemas.microsoft.com/office/drawing/2014/main" id="{00000000-0008-0000-0900-0000C0010000}"/>
                      </a:ext>
                    </a:extLst>
                  </xdr:cNvPr>
                  <xdr:cNvSpPr txBox="1"/>
                </xdr:nvSpPr>
                <xdr:spPr>
                  <a:xfrm>
                    <a:off x="19306363" y="12657871"/>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35" name="Grupo 434">
                <a:extLst>
                  <a:ext uri="{FF2B5EF4-FFF2-40B4-BE49-F238E27FC236}">
                    <a16:creationId xmlns:a16="http://schemas.microsoft.com/office/drawing/2014/main" id="{00000000-0008-0000-0900-0000B3010000}"/>
                  </a:ext>
                </a:extLst>
              </xdr:cNvPr>
              <xdr:cNvGrpSpPr/>
            </xdr:nvGrpSpPr>
            <xdr:grpSpPr>
              <a:xfrm>
                <a:off x="20055895" y="12043791"/>
                <a:ext cx="2623053" cy="750638"/>
                <a:chOff x="20055895" y="12043791"/>
                <a:chExt cx="2623053" cy="750638"/>
              </a:xfrm>
            </xdr:grpSpPr>
            <xdr:grpSp>
              <xdr:nvGrpSpPr>
                <xdr:cNvPr id="436" name="Grupo 435">
                  <a:extLst>
                    <a:ext uri="{FF2B5EF4-FFF2-40B4-BE49-F238E27FC236}">
                      <a16:creationId xmlns:a16="http://schemas.microsoft.com/office/drawing/2014/main" id="{00000000-0008-0000-0900-0000B4010000}"/>
                    </a:ext>
                  </a:extLst>
                </xdr:cNvPr>
                <xdr:cNvGrpSpPr/>
              </xdr:nvGrpSpPr>
              <xdr:grpSpPr>
                <a:xfrm>
                  <a:off x="20055895" y="12043791"/>
                  <a:ext cx="2623053" cy="734845"/>
                  <a:chOff x="28468627" y="2081892"/>
                  <a:chExt cx="2433638" cy="585107"/>
                </a:xfrm>
              </xdr:grpSpPr>
              <xdr:sp macro="" textlink="">
                <xdr:nvSpPr>
                  <xdr:cNvPr id="441" name="Cheurón 440">
                    <a:extLst>
                      <a:ext uri="{FF2B5EF4-FFF2-40B4-BE49-F238E27FC236}">
                        <a16:creationId xmlns:a16="http://schemas.microsoft.com/office/drawing/2014/main" id="{00000000-0008-0000-0900-0000B901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42" name="CuadroTexto 441">
                    <a:extLst>
                      <a:ext uri="{FF2B5EF4-FFF2-40B4-BE49-F238E27FC236}">
                        <a16:creationId xmlns:a16="http://schemas.microsoft.com/office/drawing/2014/main" id="{00000000-0008-0000-0900-0000BA010000}"/>
                      </a:ext>
                    </a:extLst>
                  </xdr:cNvPr>
                  <xdr:cNvSpPr txBox="1"/>
                </xdr:nvSpPr>
                <xdr:spPr>
                  <a:xfrm>
                    <a:off x="28782571"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W$9">
                <xdr:nvSpPr>
                  <xdr:cNvPr id="443" name="Rectángulo redondeado 442">
                    <a:extLst>
                      <a:ext uri="{FF2B5EF4-FFF2-40B4-BE49-F238E27FC236}">
                        <a16:creationId xmlns:a16="http://schemas.microsoft.com/office/drawing/2014/main" id="{00000000-0008-0000-0900-0000BB010000}"/>
                      </a:ext>
                    </a:extLst>
                  </xdr:cNvPr>
                  <xdr:cNvSpPr/>
                </xdr:nvSpPr>
                <xdr:spPr>
                  <a:xfrm>
                    <a:off x="30000728"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2DE47A-E9F6-4335-9C10-C7DE47AA3C92}" type="TxLink">
                      <a:rPr lang="en-US" sz="1600" b="1" i="0" u="none" strike="noStrike">
                        <a:solidFill>
                          <a:srgbClr val="FFFF00"/>
                        </a:solidFill>
                        <a:latin typeface="Century Gothic"/>
                      </a:rPr>
                      <a:pPr algn="ctr"/>
                      <a:t>9,1%</a:t>
                    </a:fld>
                    <a:endParaRPr lang="es-CO" sz="2000">
                      <a:solidFill>
                        <a:srgbClr val="FFFF00"/>
                      </a:solidFill>
                    </a:endParaRPr>
                  </a:p>
                </xdr:txBody>
              </xdr:sp>
            </xdr:grpSp>
            <xdr:grpSp>
              <xdr:nvGrpSpPr>
                <xdr:cNvPr id="437" name="Grupo 436">
                  <a:extLst>
                    <a:ext uri="{FF2B5EF4-FFF2-40B4-BE49-F238E27FC236}">
                      <a16:creationId xmlns:a16="http://schemas.microsoft.com/office/drawing/2014/main" id="{00000000-0008-0000-0900-0000B5010000}"/>
                    </a:ext>
                  </a:extLst>
                </xdr:cNvPr>
                <xdr:cNvGrpSpPr/>
              </xdr:nvGrpSpPr>
              <xdr:grpSpPr>
                <a:xfrm>
                  <a:off x="21739503" y="12503193"/>
                  <a:ext cx="825527" cy="291236"/>
                  <a:chOff x="21739503" y="12716750"/>
                  <a:chExt cx="825527" cy="291236"/>
                </a:xfrm>
              </xdr:grpSpPr>
              <xdr:sp macro="" textlink="$R$9">
                <xdr:nvSpPr>
                  <xdr:cNvPr id="438" name="Rectángulo 437">
                    <a:extLst>
                      <a:ext uri="{FF2B5EF4-FFF2-40B4-BE49-F238E27FC236}">
                        <a16:creationId xmlns:a16="http://schemas.microsoft.com/office/drawing/2014/main" id="{00000000-0008-0000-0900-0000B6010000}"/>
                      </a:ext>
                    </a:extLst>
                  </xdr:cNvPr>
                  <xdr:cNvSpPr/>
                </xdr:nvSpPr>
                <xdr:spPr>
                  <a:xfrm>
                    <a:off x="21787499" y="12728421"/>
                    <a:ext cx="429527"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9DB3305-465B-413C-B3CE-C879BB8C0A15}"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L$9">
                <xdr:nvSpPr>
                  <xdr:cNvPr id="439" name="Rectángulo 438">
                    <a:extLst>
                      <a:ext uri="{FF2B5EF4-FFF2-40B4-BE49-F238E27FC236}">
                        <a16:creationId xmlns:a16="http://schemas.microsoft.com/office/drawing/2014/main" id="{00000000-0008-0000-0900-0000B7010000}"/>
                      </a:ext>
                    </a:extLst>
                  </xdr:cNvPr>
                  <xdr:cNvSpPr/>
                </xdr:nvSpPr>
                <xdr:spPr>
                  <a:xfrm>
                    <a:off x="22079681" y="12728421"/>
                    <a:ext cx="422475"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717E7E2-A6FC-45DE-B762-033F705E15AD}" type="TxLink">
                      <a:rPr lang="en-US" sz="1100" b="1" i="0" u="none" strike="noStrike">
                        <a:solidFill>
                          <a:srgbClr val="FFFF00"/>
                        </a:solidFill>
                        <a:latin typeface="Century Gothic"/>
                      </a:rPr>
                      <a:pPr algn="ctr"/>
                      <a:t>22</a:t>
                    </a:fld>
                    <a:endParaRPr lang="es-CO" sz="1100" b="1">
                      <a:solidFill>
                        <a:srgbClr val="FFFF00"/>
                      </a:solidFill>
                    </a:endParaRPr>
                  </a:p>
                </xdr:txBody>
              </xdr:sp>
              <xdr:sp macro="" textlink="">
                <xdr:nvSpPr>
                  <xdr:cNvPr id="440" name="CuadroTexto 439">
                    <a:extLst>
                      <a:ext uri="{FF2B5EF4-FFF2-40B4-BE49-F238E27FC236}">
                        <a16:creationId xmlns:a16="http://schemas.microsoft.com/office/drawing/2014/main" id="{00000000-0008-0000-0900-0000B8010000}"/>
                      </a:ext>
                    </a:extLst>
                  </xdr:cNvPr>
                  <xdr:cNvSpPr txBox="1"/>
                </xdr:nvSpPr>
                <xdr:spPr>
                  <a:xfrm>
                    <a:off x="21739503" y="12716750"/>
                    <a:ext cx="825527"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grpSp>
          <xdr:nvGrpSpPr>
            <xdr:cNvPr id="245" name="Grupo 244">
              <a:extLst>
                <a:ext uri="{FF2B5EF4-FFF2-40B4-BE49-F238E27FC236}">
                  <a16:creationId xmlns:a16="http://schemas.microsoft.com/office/drawing/2014/main" id="{00000000-0008-0000-0900-0000F5000000}"/>
                </a:ext>
              </a:extLst>
            </xdr:cNvPr>
            <xdr:cNvGrpSpPr/>
          </xdr:nvGrpSpPr>
          <xdr:grpSpPr>
            <a:xfrm>
              <a:off x="12028652" y="12137153"/>
              <a:ext cx="10748820" cy="1556225"/>
              <a:chOff x="11993671" y="13258030"/>
              <a:chExt cx="10718416" cy="1543431"/>
            </a:xfrm>
          </xdr:grpSpPr>
          <xdr:grpSp>
            <xdr:nvGrpSpPr>
              <xdr:cNvPr id="337" name="Grupo 336">
                <a:extLst>
                  <a:ext uri="{FF2B5EF4-FFF2-40B4-BE49-F238E27FC236}">
                    <a16:creationId xmlns:a16="http://schemas.microsoft.com/office/drawing/2014/main" id="{00000000-0008-0000-0900-000051010000}"/>
                  </a:ext>
                </a:extLst>
              </xdr:cNvPr>
              <xdr:cNvGrpSpPr/>
            </xdr:nvGrpSpPr>
            <xdr:grpSpPr>
              <a:xfrm>
                <a:off x="12802141" y="13263561"/>
                <a:ext cx="2157046" cy="759759"/>
                <a:chOff x="12802141" y="13263561"/>
                <a:chExt cx="2157046" cy="759759"/>
              </a:xfrm>
            </xdr:grpSpPr>
            <xdr:grpSp>
              <xdr:nvGrpSpPr>
                <xdr:cNvPr id="422" name="Grupo 421">
                  <a:extLst>
                    <a:ext uri="{FF2B5EF4-FFF2-40B4-BE49-F238E27FC236}">
                      <a16:creationId xmlns:a16="http://schemas.microsoft.com/office/drawing/2014/main" id="{00000000-0008-0000-0900-0000A6010000}"/>
                    </a:ext>
                  </a:extLst>
                </xdr:cNvPr>
                <xdr:cNvGrpSpPr/>
              </xdr:nvGrpSpPr>
              <xdr:grpSpPr>
                <a:xfrm>
                  <a:off x="12802141" y="13263561"/>
                  <a:ext cx="2157046" cy="732326"/>
                  <a:chOff x="28686311" y="2081892"/>
                  <a:chExt cx="2000250" cy="585107"/>
                </a:xfrm>
              </xdr:grpSpPr>
              <xdr:sp macro="" textlink="">
                <xdr:nvSpPr>
                  <xdr:cNvPr id="427" name="Cheurón 426">
                    <a:extLst>
                      <a:ext uri="{FF2B5EF4-FFF2-40B4-BE49-F238E27FC236}">
                        <a16:creationId xmlns:a16="http://schemas.microsoft.com/office/drawing/2014/main" id="{00000000-0008-0000-0900-0000AB010000}"/>
                      </a:ext>
                    </a:extLst>
                  </xdr:cNvPr>
                  <xdr:cNvSpPr/>
                </xdr:nvSpPr>
                <xdr:spPr>
                  <a:xfrm>
                    <a:off x="2868631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28" name="CuadroTexto 427">
                    <a:extLst>
                      <a:ext uri="{FF2B5EF4-FFF2-40B4-BE49-F238E27FC236}">
                        <a16:creationId xmlns:a16="http://schemas.microsoft.com/office/drawing/2014/main" id="{00000000-0008-0000-0900-0000AC010000}"/>
                      </a:ext>
                    </a:extLst>
                  </xdr:cNvPr>
                  <xdr:cNvSpPr txBox="1"/>
                </xdr:nvSpPr>
                <xdr:spPr>
                  <a:xfrm>
                    <a:off x="28878836" y="2159695"/>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W$10">
                <xdr:nvSpPr>
                  <xdr:cNvPr id="429" name="Rectángulo redondeado 428">
                    <a:extLst>
                      <a:ext uri="{FF2B5EF4-FFF2-40B4-BE49-F238E27FC236}">
                        <a16:creationId xmlns:a16="http://schemas.microsoft.com/office/drawing/2014/main" id="{00000000-0008-0000-0900-0000AD010000}"/>
                      </a:ext>
                    </a:extLst>
                  </xdr:cNvPr>
                  <xdr:cNvSpPr/>
                </xdr:nvSpPr>
                <xdr:spPr>
                  <a:xfrm>
                    <a:off x="29808259" y="217277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4D29262-067F-47B6-AD49-B50B6129928F}" type="TxLink">
                      <a:rPr lang="en-US" sz="1600" b="1" i="0" u="none" strike="noStrike">
                        <a:solidFill>
                          <a:srgbClr val="FFFF00"/>
                        </a:solidFill>
                        <a:latin typeface="Century Gothic"/>
                      </a:rPr>
                      <a:pPr algn="ctr"/>
                      <a:t>20,0%</a:t>
                    </a:fld>
                    <a:endParaRPr lang="es-CO" sz="2000">
                      <a:solidFill>
                        <a:srgbClr val="FFFF00"/>
                      </a:solidFill>
                    </a:endParaRPr>
                  </a:p>
                </xdr:txBody>
              </xdr:sp>
            </xdr:grpSp>
            <xdr:grpSp>
              <xdr:nvGrpSpPr>
                <xdr:cNvPr id="423" name="Grupo 422">
                  <a:extLst>
                    <a:ext uri="{FF2B5EF4-FFF2-40B4-BE49-F238E27FC236}">
                      <a16:creationId xmlns:a16="http://schemas.microsoft.com/office/drawing/2014/main" id="{00000000-0008-0000-0900-0000A7010000}"/>
                    </a:ext>
                  </a:extLst>
                </xdr:cNvPr>
                <xdr:cNvGrpSpPr/>
              </xdr:nvGrpSpPr>
              <xdr:grpSpPr>
                <a:xfrm>
                  <a:off x="14002235" y="13732084"/>
                  <a:ext cx="828000" cy="291236"/>
                  <a:chOff x="14028212" y="13844651"/>
                  <a:chExt cx="828000" cy="291236"/>
                </a:xfrm>
              </xdr:grpSpPr>
              <xdr:sp macro="" textlink="$R$10">
                <xdr:nvSpPr>
                  <xdr:cNvPr id="424" name="Rectángulo 423">
                    <a:extLst>
                      <a:ext uri="{FF2B5EF4-FFF2-40B4-BE49-F238E27FC236}">
                        <a16:creationId xmlns:a16="http://schemas.microsoft.com/office/drawing/2014/main" id="{00000000-0008-0000-0900-0000A8010000}"/>
                      </a:ext>
                    </a:extLst>
                  </xdr:cNvPr>
                  <xdr:cNvSpPr/>
                </xdr:nvSpPr>
                <xdr:spPr>
                  <a:xfrm>
                    <a:off x="14084867" y="1386003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6A4229-9C9C-4597-8145-E6FCA2C547B7}"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L$10">
                <xdr:nvSpPr>
                  <xdr:cNvPr id="425" name="Rectángulo 424">
                    <a:extLst>
                      <a:ext uri="{FF2B5EF4-FFF2-40B4-BE49-F238E27FC236}">
                        <a16:creationId xmlns:a16="http://schemas.microsoft.com/office/drawing/2014/main" id="{00000000-0008-0000-0900-0000A9010000}"/>
                      </a:ext>
                    </a:extLst>
                  </xdr:cNvPr>
                  <xdr:cNvSpPr/>
                </xdr:nvSpPr>
                <xdr:spPr>
                  <a:xfrm>
                    <a:off x="14362204" y="1386003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A6F430-B0B9-4FB4-BB29-628E2AFDEFAA}" type="TxLink">
                      <a:rPr lang="en-US" sz="1100" b="1" i="0" u="none" strike="noStrike">
                        <a:solidFill>
                          <a:srgbClr val="FFFF00"/>
                        </a:solidFill>
                        <a:latin typeface="Century Gothic"/>
                      </a:rPr>
                      <a:pPr algn="ctr"/>
                      <a:t>15</a:t>
                    </a:fld>
                    <a:endParaRPr lang="es-CO" sz="1100" b="1">
                      <a:solidFill>
                        <a:srgbClr val="FFFF00"/>
                      </a:solidFill>
                    </a:endParaRPr>
                  </a:p>
                </xdr:txBody>
              </xdr:sp>
              <xdr:sp macro="" textlink="">
                <xdr:nvSpPr>
                  <xdr:cNvPr id="426" name="CuadroTexto 425">
                    <a:extLst>
                      <a:ext uri="{FF2B5EF4-FFF2-40B4-BE49-F238E27FC236}">
                        <a16:creationId xmlns:a16="http://schemas.microsoft.com/office/drawing/2014/main" id="{00000000-0008-0000-0900-0000AA010000}"/>
                      </a:ext>
                    </a:extLst>
                  </xdr:cNvPr>
                  <xdr:cNvSpPr txBox="1"/>
                </xdr:nvSpPr>
                <xdr:spPr>
                  <a:xfrm>
                    <a:off x="14028212" y="13844651"/>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38" name="Grupo 337">
                <a:extLst>
                  <a:ext uri="{FF2B5EF4-FFF2-40B4-BE49-F238E27FC236}">
                    <a16:creationId xmlns:a16="http://schemas.microsoft.com/office/drawing/2014/main" id="{00000000-0008-0000-0900-000052010000}"/>
                  </a:ext>
                </a:extLst>
              </xdr:cNvPr>
              <xdr:cNvGrpSpPr/>
            </xdr:nvGrpSpPr>
            <xdr:grpSpPr>
              <a:xfrm>
                <a:off x="14744310" y="13266331"/>
                <a:ext cx="2157048" cy="754021"/>
                <a:chOff x="14744310" y="13266331"/>
                <a:chExt cx="2157048" cy="754021"/>
              </a:xfrm>
            </xdr:grpSpPr>
            <xdr:grpSp>
              <xdr:nvGrpSpPr>
                <xdr:cNvPr id="414" name="Grupo 413">
                  <a:extLst>
                    <a:ext uri="{FF2B5EF4-FFF2-40B4-BE49-F238E27FC236}">
                      <a16:creationId xmlns:a16="http://schemas.microsoft.com/office/drawing/2014/main" id="{00000000-0008-0000-0900-00009E010000}"/>
                    </a:ext>
                  </a:extLst>
                </xdr:cNvPr>
                <xdr:cNvGrpSpPr/>
              </xdr:nvGrpSpPr>
              <xdr:grpSpPr>
                <a:xfrm>
                  <a:off x="14744310" y="13266331"/>
                  <a:ext cx="2157048" cy="732326"/>
                  <a:chOff x="28670251" y="2081892"/>
                  <a:chExt cx="2000250" cy="585107"/>
                </a:xfrm>
              </xdr:grpSpPr>
              <xdr:sp macro="" textlink="">
                <xdr:nvSpPr>
                  <xdr:cNvPr id="419" name="Cheurón 418">
                    <a:extLst>
                      <a:ext uri="{FF2B5EF4-FFF2-40B4-BE49-F238E27FC236}">
                        <a16:creationId xmlns:a16="http://schemas.microsoft.com/office/drawing/2014/main" id="{00000000-0008-0000-0900-0000A3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20" name="CuadroTexto 419">
                    <a:extLst>
                      <a:ext uri="{FF2B5EF4-FFF2-40B4-BE49-F238E27FC236}">
                        <a16:creationId xmlns:a16="http://schemas.microsoft.com/office/drawing/2014/main" id="{00000000-0008-0000-0900-0000A4010000}"/>
                      </a:ext>
                    </a:extLst>
                  </xdr:cNvPr>
                  <xdr:cNvSpPr txBox="1"/>
                </xdr:nvSpPr>
                <xdr:spPr>
                  <a:xfrm>
                    <a:off x="28867685" y="2166613"/>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W$11">
                <xdr:nvSpPr>
                  <xdr:cNvPr id="421" name="Rectángulo redondeado 420">
                    <a:extLst>
                      <a:ext uri="{FF2B5EF4-FFF2-40B4-BE49-F238E27FC236}">
                        <a16:creationId xmlns:a16="http://schemas.microsoft.com/office/drawing/2014/main" id="{00000000-0008-0000-0900-0000A5010000}"/>
                      </a:ext>
                    </a:extLst>
                  </xdr:cNvPr>
                  <xdr:cNvSpPr/>
                </xdr:nvSpPr>
                <xdr:spPr>
                  <a:xfrm>
                    <a:off x="29779599"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54A2D8-3750-4A5F-A428-18DA045958AF}" type="TxLink">
                      <a:rPr lang="en-US" sz="1600" b="1" i="0" u="none" strike="noStrike">
                        <a:solidFill>
                          <a:srgbClr val="FFFF00"/>
                        </a:solidFill>
                        <a:latin typeface="Century Gothic"/>
                      </a:rPr>
                      <a:pPr algn="ctr"/>
                      <a:t>66,7%</a:t>
                    </a:fld>
                    <a:endParaRPr lang="es-CO" sz="2400">
                      <a:solidFill>
                        <a:srgbClr val="FFFF00"/>
                      </a:solidFill>
                    </a:endParaRPr>
                  </a:p>
                </xdr:txBody>
              </xdr:sp>
            </xdr:grpSp>
            <xdr:grpSp>
              <xdr:nvGrpSpPr>
                <xdr:cNvPr id="415" name="Grupo 414">
                  <a:extLst>
                    <a:ext uri="{FF2B5EF4-FFF2-40B4-BE49-F238E27FC236}">
                      <a16:creationId xmlns:a16="http://schemas.microsoft.com/office/drawing/2014/main" id="{00000000-0008-0000-0900-00009F010000}"/>
                    </a:ext>
                  </a:extLst>
                </xdr:cNvPr>
                <xdr:cNvGrpSpPr/>
              </xdr:nvGrpSpPr>
              <xdr:grpSpPr>
                <a:xfrm>
                  <a:off x="15935931" y="13737775"/>
                  <a:ext cx="828000" cy="282577"/>
                  <a:chOff x="16013862" y="13850342"/>
                  <a:chExt cx="828000" cy="282577"/>
                </a:xfrm>
              </xdr:grpSpPr>
              <xdr:sp macro="" textlink="$R$11">
                <xdr:nvSpPr>
                  <xdr:cNvPr id="416" name="Rectángulo 415">
                    <a:extLst>
                      <a:ext uri="{FF2B5EF4-FFF2-40B4-BE49-F238E27FC236}">
                        <a16:creationId xmlns:a16="http://schemas.microsoft.com/office/drawing/2014/main" id="{00000000-0008-0000-0900-0000A0010000}"/>
                      </a:ext>
                    </a:extLst>
                  </xdr:cNvPr>
                  <xdr:cNvSpPr/>
                </xdr:nvSpPr>
                <xdr:spPr>
                  <a:xfrm>
                    <a:off x="16070517" y="13857065"/>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EAFE0EF-3CDD-41F9-B8FC-D90C684D3483}"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L$11">
                <xdr:nvSpPr>
                  <xdr:cNvPr id="417" name="Rectángulo 416">
                    <a:extLst>
                      <a:ext uri="{FF2B5EF4-FFF2-40B4-BE49-F238E27FC236}">
                        <a16:creationId xmlns:a16="http://schemas.microsoft.com/office/drawing/2014/main" id="{00000000-0008-0000-0900-0000A1010000}"/>
                      </a:ext>
                    </a:extLst>
                  </xdr:cNvPr>
                  <xdr:cNvSpPr/>
                </xdr:nvSpPr>
                <xdr:spPr>
                  <a:xfrm>
                    <a:off x="16365172" y="13857065"/>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E38CC8-3019-427A-9971-513FF790D8D3}"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
                <xdr:nvSpPr>
                  <xdr:cNvPr id="418" name="CuadroTexto 417">
                    <a:extLst>
                      <a:ext uri="{FF2B5EF4-FFF2-40B4-BE49-F238E27FC236}">
                        <a16:creationId xmlns:a16="http://schemas.microsoft.com/office/drawing/2014/main" id="{00000000-0008-0000-0900-0000A2010000}"/>
                      </a:ext>
                    </a:extLst>
                  </xdr:cNvPr>
                  <xdr:cNvSpPr txBox="1"/>
                </xdr:nvSpPr>
                <xdr:spPr>
                  <a:xfrm>
                    <a:off x="16013862" y="13850342"/>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39" name="Grupo 338">
                <a:extLst>
                  <a:ext uri="{FF2B5EF4-FFF2-40B4-BE49-F238E27FC236}">
                    <a16:creationId xmlns:a16="http://schemas.microsoft.com/office/drawing/2014/main" id="{00000000-0008-0000-0900-000053010000}"/>
                  </a:ext>
                </a:extLst>
              </xdr:cNvPr>
              <xdr:cNvGrpSpPr/>
            </xdr:nvGrpSpPr>
            <xdr:grpSpPr>
              <a:xfrm>
                <a:off x="16703763" y="13269100"/>
                <a:ext cx="2157047" cy="752614"/>
                <a:chOff x="16703763" y="13269100"/>
                <a:chExt cx="2157047" cy="752614"/>
              </a:xfrm>
            </xdr:grpSpPr>
            <xdr:grpSp>
              <xdr:nvGrpSpPr>
                <xdr:cNvPr id="406" name="Grupo 405">
                  <a:extLst>
                    <a:ext uri="{FF2B5EF4-FFF2-40B4-BE49-F238E27FC236}">
                      <a16:creationId xmlns:a16="http://schemas.microsoft.com/office/drawing/2014/main" id="{00000000-0008-0000-0900-000096010000}"/>
                    </a:ext>
                  </a:extLst>
                </xdr:cNvPr>
                <xdr:cNvGrpSpPr/>
              </xdr:nvGrpSpPr>
              <xdr:grpSpPr>
                <a:xfrm>
                  <a:off x="16703763" y="13269100"/>
                  <a:ext cx="2157047" cy="732326"/>
                  <a:chOff x="28670251" y="2081892"/>
                  <a:chExt cx="2000250" cy="585107"/>
                </a:xfrm>
              </xdr:grpSpPr>
              <xdr:sp macro="" textlink="">
                <xdr:nvSpPr>
                  <xdr:cNvPr id="411" name="Cheurón 410">
                    <a:extLst>
                      <a:ext uri="{FF2B5EF4-FFF2-40B4-BE49-F238E27FC236}">
                        <a16:creationId xmlns:a16="http://schemas.microsoft.com/office/drawing/2014/main" id="{00000000-0008-0000-0900-00009B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12" name="CuadroTexto 411">
                    <a:extLst>
                      <a:ext uri="{FF2B5EF4-FFF2-40B4-BE49-F238E27FC236}">
                        <a16:creationId xmlns:a16="http://schemas.microsoft.com/office/drawing/2014/main" id="{00000000-0008-0000-0900-00009C010000}"/>
                      </a:ext>
                    </a:extLst>
                  </xdr:cNvPr>
                  <xdr:cNvSpPr txBox="1"/>
                </xdr:nvSpPr>
                <xdr:spPr>
                  <a:xfrm>
                    <a:off x="28872820" y="2159695"/>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W$12">
                <xdr:nvSpPr>
                  <xdr:cNvPr id="413" name="Rectángulo redondeado 412">
                    <a:extLst>
                      <a:ext uri="{FF2B5EF4-FFF2-40B4-BE49-F238E27FC236}">
                        <a16:creationId xmlns:a16="http://schemas.microsoft.com/office/drawing/2014/main" id="{00000000-0008-0000-0900-00009D010000}"/>
                      </a:ext>
                    </a:extLst>
                  </xdr:cNvPr>
                  <xdr:cNvSpPr/>
                </xdr:nvSpPr>
                <xdr:spPr>
                  <a:xfrm>
                    <a:off x="29784173"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051F927-3B12-48F1-A3BE-D947120F6982}" type="TxLink">
                      <a:rPr lang="en-US" sz="1600" b="1" i="0" u="none" strike="noStrike">
                        <a:solidFill>
                          <a:srgbClr val="FFFF00"/>
                        </a:solidFill>
                        <a:latin typeface="Century Gothic"/>
                      </a:rPr>
                      <a:pPr algn="ctr"/>
                      <a:t>30,8%</a:t>
                    </a:fld>
                    <a:endParaRPr lang="es-CO" sz="2400">
                      <a:solidFill>
                        <a:srgbClr val="FFFF00"/>
                      </a:solidFill>
                    </a:endParaRPr>
                  </a:p>
                </xdr:txBody>
              </xdr:sp>
            </xdr:grpSp>
            <xdr:grpSp>
              <xdr:nvGrpSpPr>
                <xdr:cNvPr id="407" name="Grupo 406">
                  <a:extLst>
                    <a:ext uri="{FF2B5EF4-FFF2-40B4-BE49-F238E27FC236}">
                      <a16:creationId xmlns:a16="http://schemas.microsoft.com/office/drawing/2014/main" id="{00000000-0008-0000-0900-000097010000}"/>
                    </a:ext>
                  </a:extLst>
                </xdr:cNvPr>
                <xdr:cNvGrpSpPr/>
              </xdr:nvGrpSpPr>
              <xdr:grpSpPr>
                <a:xfrm>
                  <a:off x="17898080" y="13739137"/>
                  <a:ext cx="828000" cy="282577"/>
                  <a:chOff x="17993329" y="13851704"/>
                  <a:chExt cx="828000" cy="282577"/>
                </a:xfrm>
              </xdr:grpSpPr>
              <xdr:sp macro="" textlink="$R$12">
                <xdr:nvSpPr>
                  <xdr:cNvPr id="408" name="Rectángulo 407">
                    <a:extLst>
                      <a:ext uri="{FF2B5EF4-FFF2-40B4-BE49-F238E27FC236}">
                        <a16:creationId xmlns:a16="http://schemas.microsoft.com/office/drawing/2014/main" id="{00000000-0008-0000-0900-000098010000}"/>
                      </a:ext>
                    </a:extLst>
                  </xdr:cNvPr>
                  <xdr:cNvSpPr/>
                </xdr:nvSpPr>
                <xdr:spPr>
                  <a:xfrm>
                    <a:off x="18032666" y="1385842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D5895A2-D268-4C1B-9262-0E77DA109EE5}"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L$12">
                <xdr:nvSpPr>
                  <xdr:cNvPr id="409" name="Rectángulo 408">
                    <a:extLst>
                      <a:ext uri="{FF2B5EF4-FFF2-40B4-BE49-F238E27FC236}">
                        <a16:creationId xmlns:a16="http://schemas.microsoft.com/office/drawing/2014/main" id="{00000000-0008-0000-0900-000099010000}"/>
                      </a:ext>
                    </a:extLst>
                  </xdr:cNvPr>
                  <xdr:cNvSpPr/>
                </xdr:nvSpPr>
                <xdr:spPr>
                  <a:xfrm>
                    <a:off x="18327321" y="1385842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7BDD045-B982-4B6B-B1AB-57A04DA7679D}"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410" name="CuadroTexto 409">
                    <a:extLst>
                      <a:ext uri="{FF2B5EF4-FFF2-40B4-BE49-F238E27FC236}">
                        <a16:creationId xmlns:a16="http://schemas.microsoft.com/office/drawing/2014/main" id="{00000000-0008-0000-0900-00009A010000}"/>
                      </a:ext>
                    </a:extLst>
                  </xdr:cNvPr>
                  <xdr:cNvSpPr txBox="1"/>
                </xdr:nvSpPr>
                <xdr:spPr>
                  <a:xfrm>
                    <a:off x="17993329" y="13851704"/>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0" name="Grupo 339">
                <a:extLst>
                  <a:ext uri="{FF2B5EF4-FFF2-40B4-BE49-F238E27FC236}">
                    <a16:creationId xmlns:a16="http://schemas.microsoft.com/office/drawing/2014/main" id="{00000000-0008-0000-0900-000054010000}"/>
                  </a:ext>
                </a:extLst>
              </xdr:cNvPr>
              <xdr:cNvGrpSpPr/>
            </xdr:nvGrpSpPr>
            <xdr:grpSpPr>
              <a:xfrm>
                <a:off x="18649578" y="13258030"/>
                <a:ext cx="2140161" cy="771849"/>
                <a:chOff x="18649578" y="13258030"/>
                <a:chExt cx="2140161" cy="771849"/>
              </a:xfrm>
            </xdr:grpSpPr>
            <xdr:grpSp>
              <xdr:nvGrpSpPr>
                <xdr:cNvPr id="398" name="Grupo 397">
                  <a:extLst>
                    <a:ext uri="{FF2B5EF4-FFF2-40B4-BE49-F238E27FC236}">
                      <a16:creationId xmlns:a16="http://schemas.microsoft.com/office/drawing/2014/main" id="{00000000-0008-0000-0900-00008E010000}"/>
                    </a:ext>
                  </a:extLst>
                </xdr:cNvPr>
                <xdr:cNvGrpSpPr/>
              </xdr:nvGrpSpPr>
              <xdr:grpSpPr>
                <a:xfrm>
                  <a:off x="18649578" y="13258030"/>
                  <a:ext cx="2140161" cy="732326"/>
                  <a:chOff x="28670251" y="2081892"/>
                  <a:chExt cx="2025093" cy="585107"/>
                </a:xfrm>
              </xdr:grpSpPr>
              <xdr:sp macro="" textlink="">
                <xdr:nvSpPr>
                  <xdr:cNvPr id="403" name="Cheurón 402">
                    <a:extLst>
                      <a:ext uri="{FF2B5EF4-FFF2-40B4-BE49-F238E27FC236}">
                        <a16:creationId xmlns:a16="http://schemas.microsoft.com/office/drawing/2014/main" id="{00000000-0008-0000-0900-000093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04" name="CuadroTexto 403">
                    <a:extLst>
                      <a:ext uri="{FF2B5EF4-FFF2-40B4-BE49-F238E27FC236}">
                        <a16:creationId xmlns:a16="http://schemas.microsoft.com/office/drawing/2014/main" id="{00000000-0008-0000-0900-000094010000}"/>
                      </a:ext>
                    </a:extLst>
                  </xdr:cNvPr>
                  <xdr:cNvSpPr txBox="1"/>
                </xdr:nvSpPr>
                <xdr:spPr>
                  <a:xfrm>
                    <a:off x="28759318" y="2166613"/>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W$13">
                <xdr:nvSpPr>
                  <xdr:cNvPr id="405" name="Rectángulo redondeado 404">
                    <a:extLst>
                      <a:ext uri="{FF2B5EF4-FFF2-40B4-BE49-F238E27FC236}">
                        <a16:creationId xmlns:a16="http://schemas.microsoft.com/office/drawing/2014/main" id="{00000000-0008-0000-0900-000095010000}"/>
                      </a:ext>
                    </a:extLst>
                  </xdr:cNvPr>
                  <xdr:cNvSpPr/>
                </xdr:nvSpPr>
                <xdr:spPr>
                  <a:xfrm>
                    <a:off x="29810881" y="2176914"/>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2342E4-25D1-4010-A4B3-4A5FC635A550}"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99" name="Grupo 398">
                  <a:extLst>
                    <a:ext uri="{FF2B5EF4-FFF2-40B4-BE49-F238E27FC236}">
                      <a16:creationId xmlns:a16="http://schemas.microsoft.com/office/drawing/2014/main" id="{00000000-0008-0000-0900-00008F010000}"/>
                    </a:ext>
                  </a:extLst>
                </xdr:cNvPr>
                <xdr:cNvGrpSpPr/>
              </xdr:nvGrpSpPr>
              <xdr:grpSpPr>
                <a:xfrm>
                  <a:off x="19802083" y="13747302"/>
                  <a:ext cx="825525" cy="282577"/>
                  <a:chOff x="19905991" y="13859869"/>
                  <a:chExt cx="825525" cy="282577"/>
                </a:xfrm>
              </xdr:grpSpPr>
              <xdr:sp macro="" textlink="">
                <xdr:nvSpPr>
                  <xdr:cNvPr id="400" name="CuadroTexto 399">
                    <a:extLst>
                      <a:ext uri="{FF2B5EF4-FFF2-40B4-BE49-F238E27FC236}">
                        <a16:creationId xmlns:a16="http://schemas.microsoft.com/office/drawing/2014/main" id="{00000000-0008-0000-0900-000090010000}"/>
                      </a:ext>
                    </a:extLst>
                  </xdr:cNvPr>
                  <xdr:cNvSpPr txBox="1"/>
                </xdr:nvSpPr>
                <xdr:spPr>
                  <a:xfrm>
                    <a:off x="19905991" y="1385986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13">
                <xdr:nvSpPr>
                  <xdr:cNvPr id="401" name="Rectángulo 400">
                    <a:extLst>
                      <a:ext uri="{FF2B5EF4-FFF2-40B4-BE49-F238E27FC236}">
                        <a16:creationId xmlns:a16="http://schemas.microsoft.com/office/drawing/2014/main" id="{00000000-0008-0000-0900-000091010000}"/>
                      </a:ext>
                    </a:extLst>
                  </xdr:cNvPr>
                  <xdr:cNvSpPr/>
                </xdr:nvSpPr>
                <xdr:spPr>
                  <a:xfrm>
                    <a:off x="19958696" y="1386659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00A1535-C3CB-4AC3-A8A6-BF5F851A351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3">
                <xdr:nvSpPr>
                  <xdr:cNvPr id="402" name="Rectángulo 401">
                    <a:extLst>
                      <a:ext uri="{FF2B5EF4-FFF2-40B4-BE49-F238E27FC236}">
                        <a16:creationId xmlns:a16="http://schemas.microsoft.com/office/drawing/2014/main" id="{00000000-0008-0000-0900-000092010000}"/>
                      </a:ext>
                    </a:extLst>
                  </xdr:cNvPr>
                  <xdr:cNvSpPr/>
                </xdr:nvSpPr>
                <xdr:spPr>
                  <a:xfrm>
                    <a:off x="20253351" y="1386659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DEFB23-7997-4125-ACA2-5AD283EF8239}" type="TxLink">
                      <a:rPr lang="en-US" sz="1100" b="1" i="0" u="none" strike="noStrike">
                        <a:solidFill>
                          <a:srgbClr val="FFFF00"/>
                        </a:solidFill>
                        <a:latin typeface="Century Gothic"/>
                      </a:rPr>
                      <a:pPr algn="ctr"/>
                      <a:t>17</a:t>
                    </a:fld>
                    <a:endParaRPr lang="es-CO" sz="1100" b="1">
                      <a:solidFill>
                        <a:srgbClr val="FFFF00"/>
                      </a:solidFill>
                    </a:endParaRPr>
                  </a:p>
                </xdr:txBody>
              </xdr:sp>
            </xdr:grpSp>
          </xdr:grpSp>
          <xdr:grpSp>
            <xdr:nvGrpSpPr>
              <xdr:cNvPr id="341" name="Grupo 340">
                <a:extLst>
                  <a:ext uri="{FF2B5EF4-FFF2-40B4-BE49-F238E27FC236}">
                    <a16:creationId xmlns:a16="http://schemas.microsoft.com/office/drawing/2014/main" id="{00000000-0008-0000-0900-000055010000}"/>
                  </a:ext>
                </a:extLst>
              </xdr:cNvPr>
              <xdr:cNvGrpSpPr/>
            </xdr:nvGrpSpPr>
            <xdr:grpSpPr>
              <a:xfrm>
                <a:off x="11993671" y="13263576"/>
                <a:ext cx="719623" cy="1537885"/>
                <a:chOff x="27415455" y="8354785"/>
                <a:chExt cx="720610" cy="1512000"/>
              </a:xfrm>
            </xdr:grpSpPr>
            <xdr:sp macro="" textlink="">
              <xdr:nvSpPr>
                <xdr:cNvPr id="396" name="Rectángulo 395">
                  <a:extLst>
                    <a:ext uri="{FF2B5EF4-FFF2-40B4-BE49-F238E27FC236}">
                      <a16:creationId xmlns:a16="http://schemas.microsoft.com/office/drawing/2014/main" id="{00000000-0008-0000-0900-00008C010000}"/>
                    </a:ext>
                  </a:extLst>
                </xdr:cNvPr>
                <xdr:cNvSpPr/>
              </xdr:nvSpPr>
              <xdr:spPr>
                <a:xfrm>
                  <a:off x="27415455" y="8354785"/>
                  <a:ext cx="72061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97" name="CuadroTexto 396">
                  <a:extLst>
                    <a:ext uri="{FF2B5EF4-FFF2-40B4-BE49-F238E27FC236}">
                      <a16:creationId xmlns:a16="http://schemas.microsoft.com/office/drawing/2014/main" id="{00000000-0008-0000-0900-00008D010000}"/>
                    </a:ext>
                  </a:extLst>
                </xdr:cNvPr>
                <xdr:cNvSpPr txBox="1"/>
              </xdr:nvSpPr>
              <xdr:spPr>
                <a:xfrm rot="16200000">
                  <a:off x="27161406"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342" name="Grupo 341">
                <a:extLst>
                  <a:ext uri="{FF2B5EF4-FFF2-40B4-BE49-F238E27FC236}">
                    <a16:creationId xmlns:a16="http://schemas.microsoft.com/office/drawing/2014/main" id="{00000000-0008-0000-0900-000056010000}"/>
                  </a:ext>
                </a:extLst>
              </xdr:cNvPr>
              <xdr:cNvGrpSpPr/>
            </xdr:nvGrpSpPr>
            <xdr:grpSpPr>
              <a:xfrm>
                <a:off x="20554737" y="13260800"/>
                <a:ext cx="2157047" cy="771677"/>
                <a:chOff x="20554737" y="13260800"/>
                <a:chExt cx="2157047" cy="771677"/>
              </a:xfrm>
            </xdr:grpSpPr>
            <xdr:grpSp>
              <xdr:nvGrpSpPr>
                <xdr:cNvPr id="388" name="Grupo 387">
                  <a:extLst>
                    <a:ext uri="{FF2B5EF4-FFF2-40B4-BE49-F238E27FC236}">
                      <a16:creationId xmlns:a16="http://schemas.microsoft.com/office/drawing/2014/main" id="{00000000-0008-0000-0900-000084010000}"/>
                    </a:ext>
                  </a:extLst>
                </xdr:cNvPr>
                <xdr:cNvGrpSpPr/>
              </xdr:nvGrpSpPr>
              <xdr:grpSpPr>
                <a:xfrm>
                  <a:off x="20554737" y="13260800"/>
                  <a:ext cx="2157047" cy="732326"/>
                  <a:chOff x="28670251" y="2081892"/>
                  <a:chExt cx="2000250" cy="585107"/>
                </a:xfrm>
              </xdr:grpSpPr>
              <xdr:sp macro="" textlink="">
                <xdr:nvSpPr>
                  <xdr:cNvPr id="393" name="Cheurón 392">
                    <a:extLst>
                      <a:ext uri="{FF2B5EF4-FFF2-40B4-BE49-F238E27FC236}">
                        <a16:creationId xmlns:a16="http://schemas.microsoft.com/office/drawing/2014/main" id="{00000000-0008-0000-0900-000089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94" name="CuadroTexto 393">
                    <a:extLst>
                      <a:ext uri="{FF2B5EF4-FFF2-40B4-BE49-F238E27FC236}">
                        <a16:creationId xmlns:a16="http://schemas.microsoft.com/office/drawing/2014/main" id="{00000000-0008-0000-0900-00008A010000}"/>
                      </a:ext>
                    </a:extLst>
                  </xdr:cNvPr>
                  <xdr:cNvSpPr txBox="1"/>
                </xdr:nvSpPr>
                <xdr:spPr>
                  <a:xfrm>
                    <a:off x="28869718" y="2159695"/>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W$14">
                <xdr:nvSpPr>
                  <xdr:cNvPr id="395" name="Rectángulo redondeado 394">
                    <a:extLst>
                      <a:ext uri="{FF2B5EF4-FFF2-40B4-BE49-F238E27FC236}">
                        <a16:creationId xmlns:a16="http://schemas.microsoft.com/office/drawing/2014/main" id="{00000000-0008-0000-0900-00008B010000}"/>
                      </a:ext>
                    </a:extLst>
                  </xdr:cNvPr>
                  <xdr:cNvSpPr/>
                </xdr:nvSpPr>
                <xdr:spPr>
                  <a:xfrm>
                    <a:off x="29786518" y="216585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448F4F-D896-4DB7-8FA5-54982A0643CF}" type="TxLink">
                      <a:rPr lang="en-US" sz="1600" b="1" i="0" u="none" strike="noStrike">
                        <a:solidFill>
                          <a:srgbClr val="FFFF00"/>
                        </a:solidFill>
                        <a:latin typeface="Century Gothic"/>
                      </a:rPr>
                      <a:pPr algn="ctr"/>
                      <a:t>25,0%</a:t>
                    </a:fld>
                    <a:endParaRPr lang="es-CO" sz="2400">
                      <a:solidFill>
                        <a:srgbClr val="FFFF00"/>
                      </a:solidFill>
                    </a:endParaRPr>
                  </a:p>
                </xdr:txBody>
              </xdr:sp>
            </xdr:grpSp>
            <xdr:grpSp>
              <xdr:nvGrpSpPr>
                <xdr:cNvPr id="389" name="Grupo 388">
                  <a:extLst>
                    <a:ext uri="{FF2B5EF4-FFF2-40B4-BE49-F238E27FC236}">
                      <a16:creationId xmlns:a16="http://schemas.microsoft.com/office/drawing/2014/main" id="{00000000-0008-0000-0900-000085010000}"/>
                    </a:ext>
                  </a:extLst>
                </xdr:cNvPr>
                <xdr:cNvGrpSpPr/>
              </xdr:nvGrpSpPr>
              <xdr:grpSpPr>
                <a:xfrm>
                  <a:off x="21720933" y="13741241"/>
                  <a:ext cx="825525" cy="291236"/>
                  <a:chOff x="21772887" y="13853808"/>
                  <a:chExt cx="825525" cy="291236"/>
                </a:xfrm>
              </xdr:grpSpPr>
              <xdr:sp macro="" textlink="">
                <xdr:nvSpPr>
                  <xdr:cNvPr id="390" name="CuadroTexto 389">
                    <a:extLst>
                      <a:ext uri="{FF2B5EF4-FFF2-40B4-BE49-F238E27FC236}">
                        <a16:creationId xmlns:a16="http://schemas.microsoft.com/office/drawing/2014/main" id="{00000000-0008-0000-0900-000086010000}"/>
                      </a:ext>
                    </a:extLst>
                  </xdr:cNvPr>
                  <xdr:cNvSpPr txBox="1"/>
                </xdr:nvSpPr>
                <xdr:spPr>
                  <a:xfrm>
                    <a:off x="21772887" y="1385380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14">
                <xdr:nvSpPr>
                  <xdr:cNvPr id="391" name="Rectángulo 390">
                    <a:extLst>
                      <a:ext uri="{FF2B5EF4-FFF2-40B4-BE49-F238E27FC236}">
                        <a16:creationId xmlns:a16="http://schemas.microsoft.com/office/drawing/2014/main" id="{00000000-0008-0000-0900-000087010000}"/>
                      </a:ext>
                    </a:extLst>
                  </xdr:cNvPr>
                  <xdr:cNvSpPr/>
                </xdr:nvSpPr>
                <xdr:spPr>
                  <a:xfrm>
                    <a:off x="21834251" y="13869190"/>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7B154D8-6472-42E4-B95E-922C4297A18C}"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L$14">
                <xdr:nvSpPr>
                  <xdr:cNvPr id="392" name="Rectángulo 391">
                    <a:extLst>
                      <a:ext uri="{FF2B5EF4-FFF2-40B4-BE49-F238E27FC236}">
                        <a16:creationId xmlns:a16="http://schemas.microsoft.com/office/drawing/2014/main" id="{00000000-0008-0000-0900-000088010000}"/>
                      </a:ext>
                    </a:extLst>
                  </xdr:cNvPr>
                  <xdr:cNvSpPr/>
                </xdr:nvSpPr>
                <xdr:spPr>
                  <a:xfrm>
                    <a:off x="22128906" y="1386919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65CFD2-C7A5-43DB-A4D1-4D4E0F861A9A}" type="TxLink">
                      <a:rPr lang="en-US" sz="1100" b="1" i="0" u="none" strike="noStrike">
                        <a:solidFill>
                          <a:srgbClr val="FFFF00"/>
                        </a:solidFill>
                        <a:latin typeface="Century Gothic"/>
                      </a:rPr>
                      <a:pPr algn="ctr"/>
                      <a:t>8</a:t>
                    </a:fld>
                    <a:endParaRPr lang="es-CO" sz="1100" b="1">
                      <a:solidFill>
                        <a:srgbClr val="FFFF00"/>
                      </a:solidFill>
                    </a:endParaRPr>
                  </a:p>
                </xdr:txBody>
              </xdr:sp>
            </xdr:grpSp>
          </xdr:grpSp>
          <xdr:grpSp>
            <xdr:nvGrpSpPr>
              <xdr:cNvPr id="343" name="Grupo 342">
                <a:extLst>
                  <a:ext uri="{FF2B5EF4-FFF2-40B4-BE49-F238E27FC236}">
                    <a16:creationId xmlns:a16="http://schemas.microsoft.com/office/drawing/2014/main" id="{00000000-0008-0000-0900-000057010000}"/>
                  </a:ext>
                </a:extLst>
              </xdr:cNvPr>
              <xdr:cNvGrpSpPr/>
            </xdr:nvGrpSpPr>
            <xdr:grpSpPr>
              <a:xfrm>
                <a:off x="12841883" y="14055217"/>
                <a:ext cx="2157046" cy="732326"/>
                <a:chOff x="12841883" y="14055217"/>
                <a:chExt cx="2157046" cy="732326"/>
              </a:xfrm>
            </xdr:grpSpPr>
            <xdr:grpSp>
              <xdr:nvGrpSpPr>
                <xdr:cNvPr id="380" name="Grupo 379">
                  <a:extLst>
                    <a:ext uri="{FF2B5EF4-FFF2-40B4-BE49-F238E27FC236}">
                      <a16:creationId xmlns:a16="http://schemas.microsoft.com/office/drawing/2014/main" id="{00000000-0008-0000-0900-00007C010000}"/>
                    </a:ext>
                  </a:extLst>
                </xdr:cNvPr>
                <xdr:cNvGrpSpPr/>
              </xdr:nvGrpSpPr>
              <xdr:grpSpPr>
                <a:xfrm>
                  <a:off x="12841883" y="14055217"/>
                  <a:ext cx="2157046" cy="732326"/>
                  <a:chOff x="28670251" y="2081892"/>
                  <a:chExt cx="2000250" cy="585107"/>
                </a:xfrm>
              </xdr:grpSpPr>
              <xdr:sp macro="" textlink="">
                <xdr:nvSpPr>
                  <xdr:cNvPr id="385" name="Cheurón 384">
                    <a:extLst>
                      <a:ext uri="{FF2B5EF4-FFF2-40B4-BE49-F238E27FC236}">
                        <a16:creationId xmlns:a16="http://schemas.microsoft.com/office/drawing/2014/main" id="{00000000-0008-0000-0900-000081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86" name="CuadroTexto 385">
                    <a:extLst>
                      <a:ext uri="{FF2B5EF4-FFF2-40B4-BE49-F238E27FC236}">
                        <a16:creationId xmlns:a16="http://schemas.microsoft.com/office/drawing/2014/main" id="{00000000-0008-0000-0900-000082010000}"/>
                      </a:ext>
                    </a:extLst>
                  </xdr:cNvPr>
                  <xdr:cNvSpPr txBox="1"/>
                </xdr:nvSpPr>
                <xdr:spPr>
                  <a:xfrm>
                    <a:off x="28871628" y="2122198"/>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W$15">
                <xdr:nvSpPr>
                  <xdr:cNvPr id="387" name="Rectángulo redondeado 386">
                    <a:extLst>
                      <a:ext uri="{FF2B5EF4-FFF2-40B4-BE49-F238E27FC236}">
                        <a16:creationId xmlns:a16="http://schemas.microsoft.com/office/drawing/2014/main" id="{00000000-0008-0000-0900-000083010000}"/>
                      </a:ext>
                    </a:extLst>
                  </xdr:cNvPr>
                  <xdr:cNvSpPr/>
                </xdr:nvSpPr>
                <xdr:spPr>
                  <a:xfrm>
                    <a:off x="297865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A1C168-88C8-459E-8849-6F73DE447FBF}"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81" name="Grupo 380">
                  <a:extLst>
                    <a:ext uri="{FF2B5EF4-FFF2-40B4-BE49-F238E27FC236}">
                      <a16:creationId xmlns:a16="http://schemas.microsoft.com/office/drawing/2014/main" id="{00000000-0008-0000-0900-00007D010000}"/>
                    </a:ext>
                  </a:extLst>
                </xdr:cNvPr>
                <xdr:cNvGrpSpPr/>
              </xdr:nvGrpSpPr>
              <xdr:grpSpPr>
                <a:xfrm>
                  <a:off x="14016091" y="14508357"/>
                  <a:ext cx="828000" cy="275854"/>
                  <a:chOff x="14016091" y="14799434"/>
                  <a:chExt cx="828000" cy="275854"/>
                </a:xfrm>
              </xdr:grpSpPr>
              <xdr:sp macro="" textlink="$R$15">
                <xdr:nvSpPr>
                  <xdr:cNvPr id="382" name="Rectángulo 381">
                    <a:extLst>
                      <a:ext uri="{FF2B5EF4-FFF2-40B4-BE49-F238E27FC236}">
                        <a16:creationId xmlns:a16="http://schemas.microsoft.com/office/drawing/2014/main" id="{00000000-0008-0000-0900-00007E010000}"/>
                      </a:ext>
                    </a:extLst>
                  </xdr:cNvPr>
                  <xdr:cNvSpPr/>
                </xdr:nvSpPr>
                <xdr:spPr>
                  <a:xfrm>
                    <a:off x="14055428" y="1479943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ED91C-B6CD-44D6-9130-E8B591B5FF98}"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5">
                <xdr:nvSpPr>
                  <xdr:cNvPr id="383" name="Rectángulo 382">
                    <a:extLst>
                      <a:ext uri="{FF2B5EF4-FFF2-40B4-BE49-F238E27FC236}">
                        <a16:creationId xmlns:a16="http://schemas.microsoft.com/office/drawing/2014/main" id="{00000000-0008-0000-0900-00007F010000}"/>
                      </a:ext>
                    </a:extLst>
                  </xdr:cNvPr>
                  <xdr:cNvSpPr/>
                </xdr:nvSpPr>
                <xdr:spPr>
                  <a:xfrm>
                    <a:off x="14350083" y="1479943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B0C1589-6ECA-40BC-BCD9-6834BA099E6B}"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
                <xdr:nvSpPr>
                  <xdr:cNvPr id="384" name="CuadroTexto 383">
                    <a:extLst>
                      <a:ext uri="{FF2B5EF4-FFF2-40B4-BE49-F238E27FC236}">
                        <a16:creationId xmlns:a16="http://schemas.microsoft.com/office/drawing/2014/main" id="{00000000-0008-0000-0900-000080010000}"/>
                      </a:ext>
                    </a:extLst>
                  </xdr:cNvPr>
                  <xdr:cNvSpPr txBox="1"/>
                </xdr:nvSpPr>
                <xdr:spPr>
                  <a:xfrm>
                    <a:off x="14016091" y="14801370"/>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4" name="Grupo 343">
                <a:extLst>
                  <a:ext uri="{FF2B5EF4-FFF2-40B4-BE49-F238E27FC236}">
                    <a16:creationId xmlns:a16="http://schemas.microsoft.com/office/drawing/2014/main" id="{00000000-0008-0000-0900-000058010000}"/>
                  </a:ext>
                </a:extLst>
              </xdr:cNvPr>
              <xdr:cNvGrpSpPr/>
            </xdr:nvGrpSpPr>
            <xdr:grpSpPr>
              <a:xfrm>
                <a:off x="14801381" y="14057986"/>
                <a:ext cx="2179254" cy="732326"/>
                <a:chOff x="14801381" y="14057986"/>
                <a:chExt cx="2179254" cy="732326"/>
              </a:xfrm>
            </xdr:grpSpPr>
            <xdr:grpSp>
              <xdr:nvGrpSpPr>
                <xdr:cNvPr id="372" name="Grupo 371">
                  <a:extLst>
                    <a:ext uri="{FF2B5EF4-FFF2-40B4-BE49-F238E27FC236}">
                      <a16:creationId xmlns:a16="http://schemas.microsoft.com/office/drawing/2014/main" id="{00000000-0008-0000-0900-000074010000}"/>
                    </a:ext>
                  </a:extLst>
                </xdr:cNvPr>
                <xdr:cNvGrpSpPr/>
              </xdr:nvGrpSpPr>
              <xdr:grpSpPr>
                <a:xfrm>
                  <a:off x="14801381" y="14057986"/>
                  <a:ext cx="2179254" cy="732326"/>
                  <a:chOff x="28670251" y="2081892"/>
                  <a:chExt cx="2020842" cy="585107"/>
                </a:xfrm>
              </xdr:grpSpPr>
              <xdr:sp macro="" textlink="">
                <xdr:nvSpPr>
                  <xdr:cNvPr id="377" name="Cheurón 376">
                    <a:extLst>
                      <a:ext uri="{FF2B5EF4-FFF2-40B4-BE49-F238E27FC236}">
                        <a16:creationId xmlns:a16="http://schemas.microsoft.com/office/drawing/2014/main" id="{00000000-0008-0000-0900-000079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78" name="CuadroTexto 377">
                    <a:extLst>
                      <a:ext uri="{FF2B5EF4-FFF2-40B4-BE49-F238E27FC236}">
                        <a16:creationId xmlns:a16="http://schemas.microsoft.com/office/drawing/2014/main" id="{00000000-0008-0000-0900-00007A010000}"/>
                      </a:ext>
                    </a:extLst>
                  </xdr:cNvPr>
                  <xdr:cNvSpPr txBox="1"/>
                </xdr:nvSpPr>
                <xdr:spPr>
                  <a:xfrm>
                    <a:off x="28789521" y="2122198"/>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W$16">
                <xdr:nvSpPr>
                  <xdr:cNvPr id="379" name="Rectángulo redondeado 378">
                    <a:extLst>
                      <a:ext uri="{FF2B5EF4-FFF2-40B4-BE49-F238E27FC236}">
                        <a16:creationId xmlns:a16="http://schemas.microsoft.com/office/drawing/2014/main" id="{00000000-0008-0000-0900-00007B010000}"/>
                      </a:ext>
                    </a:extLst>
                  </xdr:cNvPr>
                  <xdr:cNvSpPr/>
                </xdr:nvSpPr>
                <xdr:spPr>
                  <a:xfrm>
                    <a:off x="29824320"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9FA8D55-379B-4C49-B68E-A496E4B8911F}"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73" name="Grupo 372">
                  <a:extLst>
                    <a:ext uri="{FF2B5EF4-FFF2-40B4-BE49-F238E27FC236}">
                      <a16:creationId xmlns:a16="http://schemas.microsoft.com/office/drawing/2014/main" id="{00000000-0008-0000-0900-000075010000}"/>
                    </a:ext>
                  </a:extLst>
                </xdr:cNvPr>
                <xdr:cNvGrpSpPr/>
              </xdr:nvGrpSpPr>
              <xdr:grpSpPr>
                <a:xfrm>
                  <a:off x="16010400" y="14508357"/>
                  <a:ext cx="828000" cy="275854"/>
                  <a:chOff x="16010400" y="14650231"/>
                  <a:chExt cx="828000" cy="275854"/>
                </a:xfrm>
              </xdr:grpSpPr>
              <xdr:sp macro="" textlink="$R$16">
                <xdr:nvSpPr>
                  <xdr:cNvPr id="374" name="Rectángulo 373">
                    <a:extLst>
                      <a:ext uri="{FF2B5EF4-FFF2-40B4-BE49-F238E27FC236}">
                        <a16:creationId xmlns:a16="http://schemas.microsoft.com/office/drawing/2014/main" id="{00000000-0008-0000-0900-000076010000}"/>
                      </a:ext>
                    </a:extLst>
                  </xdr:cNvPr>
                  <xdr:cNvSpPr/>
                </xdr:nvSpPr>
                <xdr:spPr>
                  <a:xfrm>
                    <a:off x="16067055" y="1465023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B01D163-6886-4DD9-8A59-D6B59F4B724F}"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6">
                <xdr:nvSpPr>
                  <xdr:cNvPr id="375" name="Rectángulo 374">
                    <a:extLst>
                      <a:ext uri="{FF2B5EF4-FFF2-40B4-BE49-F238E27FC236}">
                        <a16:creationId xmlns:a16="http://schemas.microsoft.com/office/drawing/2014/main" id="{00000000-0008-0000-0900-000077010000}"/>
                      </a:ext>
                    </a:extLst>
                  </xdr:cNvPr>
                  <xdr:cNvSpPr/>
                </xdr:nvSpPr>
                <xdr:spPr>
                  <a:xfrm>
                    <a:off x="16353051" y="1465023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63D6EBE-7451-4A5C-B0B7-1D5E485BA6EE}"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
                <xdr:nvSpPr>
                  <xdr:cNvPr id="376" name="CuadroTexto 375">
                    <a:extLst>
                      <a:ext uri="{FF2B5EF4-FFF2-40B4-BE49-F238E27FC236}">
                        <a16:creationId xmlns:a16="http://schemas.microsoft.com/office/drawing/2014/main" id="{00000000-0008-0000-0900-000078010000}"/>
                      </a:ext>
                    </a:extLst>
                  </xdr:cNvPr>
                  <xdr:cNvSpPr txBox="1"/>
                </xdr:nvSpPr>
                <xdr:spPr>
                  <a:xfrm>
                    <a:off x="16010400" y="14652167"/>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5" name="Grupo 344">
                <a:extLst>
                  <a:ext uri="{FF2B5EF4-FFF2-40B4-BE49-F238E27FC236}">
                    <a16:creationId xmlns:a16="http://schemas.microsoft.com/office/drawing/2014/main" id="{00000000-0008-0000-0900-000059010000}"/>
                  </a:ext>
                </a:extLst>
              </xdr:cNvPr>
              <xdr:cNvGrpSpPr/>
            </xdr:nvGrpSpPr>
            <xdr:grpSpPr>
              <a:xfrm>
                <a:off x="16747206" y="14046916"/>
                <a:ext cx="2192840" cy="737295"/>
                <a:chOff x="16747206" y="14046916"/>
                <a:chExt cx="2192840" cy="737295"/>
              </a:xfrm>
            </xdr:grpSpPr>
            <xdr:grpSp>
              <xdr:nvGrpSpPr>
                <xdr:cNvPr id="364" name="Grupo 363">
                  <a:extLst>
                    <a:ext uri="{FF2B5EF4-FFF2-40B4-BE49-F238E27FC236}">
                      <a16:creationId xmlns:a16="http://schemas.microsoft.com/office/drawing/2014/main" id="{00000000-0008-0000-0900-00006C010000}"/>
                    </a:ext>
                  </a:extLst>
                </xdr:cNvPr>
                <xdr:cNvGrpSpPr/>
              </xdr:nvGrpSpPr>
              <xdr:grpSpPr>
                <a:xfrm>
                  <a:off x="16747206" y="14046916"/>
                  <a:ext cx="2192840" cy="732326"/>
                  <a:chOff x="28670251" y="2081892"/>
                  <a:chExt cx="2033443" cy="585107"/>
                </a:xfrm>
              </xdr:grpSpPr>
              <xdr:sp macro="" textlink="">
                <xdr:nvSpPr>
                  <xdr:cNvPr id="369" name="Cheurón 368">
                    <a:extLst>
                      <a:ext uri="{FF2B5EF4-FFF2-40B4-BE49-F238E27FC236}">
                        <a16:creationId xmlns:a16="http://schemas.microsoft.com/office/drawing/2014/main" id="{00000000-0008-0000-0900-000071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70" name="CuadroTexto 369">
                    <a:extLst>
                      <a:ext uri="{FF2B5EF4-FFF2-40B4-BE49-F238E27FC236}">
                        <a16:creationId xmlns:a16="http://schemas.microsoft.com/office/drawing/2014/main" id="{00000000-0008-0000-0900-000072010000}"/>
                      </a:ext>
                    </a:extLst>
                  </xdr:cNvPr>
                  <xdr:cNvSpPr txBox="1"/>
                </xdr:nvSpPr>
                <xdr:spPr>
                  <a:xfrm>
                    <a:off x="28782494" y="2119420"/>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W$17">
                <xdr:nvSpPr>
                  <xdr:cNvPr id="371" name="Rectángulo redondeado 370">
                    <a:extLst>
                      <a:ext uri="{FF2B5EF4-FFF2-40B4-BE49-F238E27FC236}">
                        <a16:creationId xmlns:a16="http://schemas.microsoft.com/office/drawing/2014/main" id="{00000000-0008-0000-0900-000073010000}"/>
                      </a:ext>
                    </a:extLst>
                  </xdr:cNvPr>
                  <xdr:cNvSpPr/>
                </xdr:nvSpPr>
                <xdr:spPr>
                  <a:xfrm>
                    <a:off x="2983691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2E04FA-BB20-4632-880E-9FB7A7D3FB9D}"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65" name="Grupo 364">
                  <a:extLst>
                    <a:ext uri="{FF2B5EF4-FFF2-40B4-BE49-F238E27FC236}">
                      <a16:creationId xmlns:a16="http://schemas.microsoft.com/office/drawing/2014/main" id="{00000000-0008-0000-0900-00006D010000}"/>
                    </a:ext>
                  </a:extLst>
                </xdr:cNvPr>
                <xdr:cNvGrpSpPr/>
              </xdr:nvGrpSpPr>
              <xdr:grpSpPr>
                <a:xfrm>
                  <a:off x="17963890" y="14508357"/>
                  <a:ext cx="828000" cy="275854"/>
                  <a:chOff x="17963890" y="14651593"/>
                  <a:chExt cx="828000" cy="275854"/>
                </a:xfrm>
              </xdr:grpSpPr>
              <xdr:sp macro="" textlink="$R$17">
                <xdr:nvSpPr>
                  <xdr:cNvPr id="366" name="Rectángulo 365">
                    <a:extLst>
                      <a:ext uri="{FF2B5EF4-FFF2-40B4-BE49-F238E27FC236}">
                        <a16:creationId xmlns:a16="http://schemas.microsoft.com/office/drawing/2014/main" id="{00000000-0008-0000-0900-00006E010000}"/>
                      </a:ext>
                    </a:extLst>
                  </xdr:cNvPr>
                  <xdr:cNvSpPr/>
                </xdr:nvSpPr>
                <xdr:spPr>
                  <a:xfrm>
                    <a:off x="18029204" y="1465159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F8BEB68E-5A2B-4C42-9408-B7C44874AC7D}"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7">
                <xdr:nvSpPr>
                  <xdr:cNvPr id="367" name="Rectángulo 366">
                    <a:extLst>
                      <a:ext uri="{FF2B5EF4-FFF2-40B4-BE49-F238E27FC236}">
                        <a16:creationId xmlns:a16="http://schemas.microsoft.com/office/drawing/2014/main" id="{00000000-0008-0000-0900-00006F010000}"/>
                      </a:ext>
                    </a:extLst>
                  </xdr:cNvPr>
                  <xdr:cNvSpPr/>
                </xdr:nvSpPr>
                <xdr:spPr>
                  <a:xfrm>
                    <a:off x="18315200" y="1465159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824BE72-C060-4699-A288-57BF987A9F22}" type="TxLink">
                      <a:rPr lang="en-US" sz="1100" b="1" i="0" u="none" strike="noStrike">
                        <a:solidFill>
                          <a:srgbClr val="FFFF00"/>
                        </a:solidFill>
                        <a:latin typeface="Century Gothic"/>
                      </a:rPr>
                      <a:pPr algn="ctr"/>
                      <a:t>14</a:t>
                    </a:fld>
                    <a:endParaRPr lang="es-CO" sz="1100" b="1">
                      <a:solidFill>
                        <a:srgbClr val="FFFF00"/>
                      </a:solidFill>
                    </a:endParaRPr>
                  </a:p>
                </xdr:txBody>
              </xdr:sp>
              <xdr:sp macro="" textlink="">
                <xdr:nvSpPr>
                  <xdr:cNvPr id="368" name="CuadroTexto 367">
                    <a:extLst>
                      <a:ext uri="{FF2B5EF4-FFF2-40B4-BE49-F238E27FC236}">
                        <a16:creationId xmlns:a16="http://schemas.microsoft.com/office/drawing/2014/main" id="{00000000-0008-0000-0900-000070010000}"/>
                      </a:ext>
                    </a:extLst>
                  </xdr:cNvPr>
                  <xdr:cNvSpPr txBox="1"/>
                </xdr:nvSpPr>
                <xdr:spPr>
                  <a:xfrm>
                    <a:off x="17963890" y="14653529"/>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346" name="Grupo 345">
                <a:extLst>
                  <a:ext uri="{FF2B5EF4-FFF2-40B4-BE49-F238E27FC236}">
                    <a16:creationId xmlns:a16="http://schemas.microsoft.com/office/drawing/2014/main" id="{00000000-0008-0000-0900-00005A010000}"/>
                  </a:ext>
                </a:extLst>
              </xdr:cNvPr>
              <xdr:cNvGrpSpPr/>
            </xdr:nvGrpSpPr>
            <xdr:grpSpPr>
              <a:xfrm>
                <a:off x="18693068" y="14049686"/>
                <a:ext cx="2126570" cy="734525"/>
                <a:chOff x="18693068" y="14049686"/>
                <a:chExt cx="2126570" cy="734525"/>
              </a:xfrm>
            </xdr:grpSpPr>
            <xdr:grpSp>
              <xdr:nvGrpSpPr>
                <xdr:cNvPr id="356" name="Grupo 355">
                  <a:extLst>
                    <a:ext uri="{FF2B5EF4-FFF2-40B4-BE49-F238E27FC236}">
                      <a16:creationId xmlns:a16="http://schemas.microsoft.com/office/drawing/2014/main" id="{00000000-0008-0000-0900-000064010000}"/>
                    </a:ext>
                  </a:extLst>
                </xdr:cNvPr>
                <xdr:cNvGrpSpPr/>
              </xdr:nvGrpSpPr>
              <xdr:grpSpPr>
                <a:xfrm>
                  <a:off x="18693068" y="14049686"/>
                  <a:ext cx="2126570" cy="732326"/>
                  <a:chOff x="28670251" y="2081892"/>
                  <a:chExt cx="2012232" cy="585107"/>
                </a:xfrm>
              </xdr:grpSpPr>
              <xdr:sp macro="" textlink="">
                <xdr:nvSpPr>
                  <xdr:cNvPr id="361" name="Cheurón 360">
                    <a:extLst>
                      <a:ext uri="{FF2B5EF4-FFF2-40B4-BE49-F238E27FC236}">
                        <a16:creationId xmlns:a16="http://schemas.microsoft.com/office/drawing/2014/main" id="{00000000-0008-0000-0900-000069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62" name="CuadroTexto 361">
                    <a:extLst>
                      <a:ext uri="{FF2B5EF4-FFF2-40B4-BE49-F238E27FC236}">
                        <a16:creationId xmlns:a16="http://schemas.microsoft.com/office/drawing/2014/main" id="{00000000-0008-0000-0900-00006A010000}"/>
                      </a:ext>
                    </a:extLst>
                  </xdr:cNvPr>
                  <xdr:cNvSpPr txBox="1"/>
                </xdr:nvSpPr>
                <xdr:spPr>
                  <a:xfrm>
                    <a:off x="28911076" y="2122198"/>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W$18">
                <xdr:nvSpPr>
                  <xdr:cNvPr id="363" name="Rectángulo redondeado 362">
                    <a:extLst>
                      <a:ext uri="{FF2B5EF4-FFF2-40B4-BE49-F238E27FC236}">
                        <a16:creationId xmlns:a16="http://schemas.microsoft.com/office/drawing/2014/main" id="{00000000-0008-0000-0900-00006B010000}"/>
                      </a:ext>
                    </a:extLst>
                  </xdr:cNvPr>
                  <xdr:cNvSpPr/>
                </xdr:nvSpPr>
                <xdr:spPr>
                  <a:xfrm>
                    <a:off x="29798021"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99FF71C-5B37-4321-A343-0DDDEBF3C1F3}" type="TxLink">
                      <a:rPr lang="en-US" sz="1600" b="1" i="0" u="none" strike="noStrike">
                        <a:solidFill>
                          <a:srgbClr val="FFFF00"/>
                        </a:solidFill>
                        <a:latin typeface="Century Gothic"/>
                      </a:rPr>
                      <a:pPr algn="ctr"/>
                      <a:t>66,7%</a:t>
                    </a:fld>
                    <a:endParaRPr lang="es-CO" sz="2400">
                      <a:solidFill>
                        <a:srgbClr val="FFFF00"/>
                      </a:solidFill>
                    </a:endParaRPr>
                  </a:p>
                </xdr:txBody>
              </xdr:sp>
            </xdr:grpSp>
            <xdr:grpSp>
              <xdr:nvGrpSpPr>
                <xdr:cNvPr id="357" name="Grupo 356">
                  <a:extLst>
                    <a:ext uri="{FF2B5EF4-FFF2-40B4-BE49-F238E27FC236}">
                      <a16:creationId xmlns:a16="http://schemas.microsoft.com/office/drawing/2014/main" id="{00000000-0008-0000-0900-000065010000}"/>
                    </a:ext>
                  </a:extLst>
                </xdr:cNvPr>
                <xdr:cNvGrpSpPr/>
              </xdr:nvGrpSpPr>
              <xdr:grpSpPr>
                <a:xfrm>
                  <a:off x="19859234" y="14508357"/>
                  <a:ext cx="825525" cy="275854"/>
                  <a:chOff x="19893870" y="14659758"/>
                  <a:chExt cx="825525" cy="275854"/>
                </a:xfrm>
              </xdr:grpSpPr>
              <xdr:sp macro="" textlink="">
                <xdr:nvSpPr>
                  <xdr:cNvPr id="358" name="CuadroTexto 357">
                    <a:extLst>
                      <a:ext uri="{FF2B5EF4-FFF2-40B4-BE49-F238E27FC236}">
                        <a16:creationId xmlns:a16="http://schemas.microsoft.com/office/drawing/2014/main" id="{00000000-0008-0000-0900-000066010000}"/>
                      </a:ext>
                    </a:extLst>
                  </xdr:cNvPr>
                  <xdr:cNvSpPr txBox="1"/>
                </xdr:nvSpPr>
                <xdr:spPr>
                  <a:xfrm>
                    <a:off x="19893870" y="14661694"/>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18">
                <xdr:nvSpPr>
                  <xdr:cNvPr id="359" name="Rectángulo 358">
                    <a:extLst>
                      <a:ext uri="{FF2B5EF4-FFF2-40B4-BE49-F238E27FC236}">
                        <a16:creationId xmlns:a16="http://schemas.microsoft.com/office/drawing/2014/main" id="{00000000-0008-0000-0900-000067010000}"/>
                      </a:ext>
                    </a:extLst>
                  </xdr:cNvPr>
                  <xdr:cNvSpPr/>
                </xdr:nvSpPr>
                <xdr:spPr>
                  <a:xfrm>
                    <a:off x="19955234" y="14659758"/>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9625F8A-E3FE-400D-A5B7-3FBCB4F94F11}"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L$18">
                <xdr:nvSpPr>
                  <xdr:cNvPr id="360" name="Rectángulo 359">
                    <a:extLst>
                      <a:ext uri="{FF2B5EF4-FFF2-40B4-BE49-F238E27FC236}">
                        <a16:creationId xmlns:a16="http://schemas.microsoft.com/office/drawing/2014/main" id="{00000000-0008-0000-0900-000068010000}"/>
                      </a:ext>
                    </a:extLst>
                  </xdr:cNvPr>
                  <xdr:cNvSpPr/>
                </xdr:nvSpPr>
                <xdr:spPr>
                  <a:xfrm>
                    <a:off x="20241230" y="14659758"/>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648831B-91EC-4BC9-951A-D69FBE88BAC8}" type="TxLink">
                      <a:rPr lang="en-US" sz="1100" b="1" i="0" u="none" strike="noStrike">
                        <a:solidFill>
                          <a:srgbClr val="FFFF00"/>
                        </a:solidFill>
                        <a:latin typeface="Century Gothic"/>
                      </a:rPr>
                      <a:pPr algn="ctr"/>
                      <a:t>6</a:t>
                    </a:fld>
                    <a:endParaRPr lang="es-CO" sz="1100" b="1">
                      <a:solidFill>
                        <a:srgbClr val="FFFF00"/>
                      </a:solidFill>
                    </a:endParaRPr>
                  </a:p>
                </xdr:txBody>
              </xdr:sp>
            </xdr:grpSp>
          </xdr:grpSp>
          <xdr:grpSp>
            <xdr:nvGrpSpPr>
              <xdr:cNvPr id="347" name="Grupo 346">
                <a:extLst>
                  <a:ext uri="{FF2B5EF4-FFF2-40B4-BE49-F238E27FC236}">
                    <a16:creationId xmlns:a16="http://schemas.microsoft.com/office/drawing/2014/main" id="{00000000-0008-0000-0900-00005B010000}"/>
                  </a:ext>
                </a:extLst>
              </xdr:cNvPr>
              <xdr:cNvGrpSpPr/>
            </xdr:nvGrpSpPr>
            <xdr:grpSpPr>
              <a:xfrm>
                <a:off x="20598180" y="14052454"/>
                <a:ext cx="2113907" cy="732326"/>
                <a:chOff x="20598180" y="14052454"/>
                <a:chExt cx="2113907" cy="732326"/>
              </a:xfrm>
            </xdr:grpSpPr>
            <xdr:grpSp>
              <xdr:nvGrpSpPr>
                <xdr:cNvPr id="348" name="Grupo 347">
                  <a:extLst>
                    <a:ext uri="{FF2B5EF4-FFF2-40B4-BE49-F238E27FC236}">
                      <a16:creationId xmlns:a16="http://schemas.microsoft.com/office/drawing/2014/main" id="{00000000-0008-0000-0900-00005C010000}"/>
                    </a:ext>
                  </a:extLst>
                </xdr:cNvPr>
                <xdr:cNvGrpSpPr/>
              </xdr:nvGrpSpPr>
              <xdr:grpSpPr>
                <a:xfrm>
                  <a:off x="20598180" y="14052454"/>
                  <a:ext cx="2113907" cy="732326"/>
                  <a:chOff x="28670251" y="2081892"/>
                  <a:chExt cx="2000250" cy="585107"/>
                </a:xfrm>
              </xdr:grpSpPr>
              <xdr:sp macro="" textlink="">
                <xdr:nvSpPr>
                  <xdr:cNvPr id="353" name="Cheurón 352">
                    <a:extLst>
                      <a:ext uri="{FF2B5EF4-FFF2-40B4-BE49-F238E27FC236}">
                        <a16:creationId xmlns:a16="http://schemas.microsoft.com/office/drawing/2014/main" id="{00000000-0008-0000-0900-000061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54" name="CuadroTexto 353">
                    <a:extLst>
                      <a:ext uri="{FF2B5EF4-FFF2-40B4-BE49-F238E27FC236}">
                        <a16:creationId xmlns:a16="http://schemas.microsoft.com/office/drawing/2014/main" id="{00000000-0008-0000-0900-000062010000}"/>
                      </a:ext>
                    </a:extLst>
                  </xdr:cNvPr>
                  <xdr:cNvSpPr txBox="1"/>
                </xdr:nvSpPr>
                <xdr:spPr>
                  <a:xfrm>
                    <a:off x="28842462"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W$19">
                <xdr:nvSpPr>
                  <xdr:cNvPr id="355" name="Rectángulo redondeado 354">
                    <a:extLst>
                      <a:ext uri="{FF2B5EF4-FFF2-40B4-BE49-F238E27FC236}">
                        <a16:creationId xmlns:a16="http://schemas.microsoft.com/office/drawing/2014/main" id="{00000000-0008-0000-0900-000063010000}"/>
                      </a:ext>
                    </a:extLst>
                  </xdr:cNvPr>
                  <xdr:cNvSpPr/>
                </xdr:nvSpPr>
                <xdr:spPr>
                  <a:xfrm>
                    <a:off x="29798022" y="2157577"/>
                    <a:ext cx="85044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FB7C1F-F51F-437F-90E9-0A6690DA48D6}"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349" name="Grupo 348">
                  <a:extLst>
                    <a:ext uri="{FF2B5EF4-FFF2-40B4-BE49-F238E27FC236}">
                      <a16:creationId xmlns:a16="http://schemas.microsoft.com/office/drawing/2014/main" id="{00000000-0008-0000-0900-00005D010000}"/>
                    </a:ext>
                  </a:extLst>
                </xdr:cNvPr>
                <xdr:cNvGrpSpPr/>
              </xdr:nvGrpSpPr>
              <xdr:grpSpPr>
                <a:xfrm>
                  <a:off x="21778084" y="14508357"/>
                  <a:ext cx="825525" cy="275854"/>
                  <a:chOff x="21778084" y="14662356"/>
                  <a:chExt cx="825525" cy="275854"/>
                </a:xfrm>
              </xdr:grpSpPr>
              <xdr:sp macro="" textlink="">
                <xdr:nvSpPr>
                  <xdr:cNvPr id="350" name="CuadroTexto 349">
                    <a:extLst>
                      <a:ext uri="{FF2B5EF4-FFF2-40B4-BE49-F238E27FC236}">
                        <a16:creationId xmlns:a16="http://schemas.microsoft.com/office/drawing/2014/main" id="{00000000-0008-0000-0900-00005E010000}"/>
                      </a:ext>
                    </a:extLst>
                  </xdr:cNvPr>
                  <xdr:cNvSpPr txBox="1"/>
                </xdr:nvSpPr>
                <xdr:spPr>
                  <a:xfrm>
                    <a:off x="21778084" y="1466429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19">
                <xdr:nvSpPr>
                  <xdr:cNvPr id="351" name="Rectángulo 350">
                    <a:extLst>
                      <a:ext uri="{FF2B5EF4-FFF2-40B4-BE49-F238E27FC236}">
                        <a16:creationId xmlns:a16="http://schemas.microsoft.com/office/drawing/2014/main" id="{00000000-0008-0000-0900-00005F010000}"/>
                      </a:ext>
                    </a:extLst>
                  </xdr:cNvPr>
                  <xdr:cNvSpPr/>
                </xdr:nvSpPr>
                <xdr:spPr>
                  <a:xfrm>
                    <a:off x="21830789" y="1466235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3A16E2B-1C51-4627-AE6C-FC3504698EE4}"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19">
                <xdr:nvSpPr>
                  <xdr:cNvPr id="352" name="Rectángulo 351">
                    <a:extLst>
                      <a:ext uri="{FF2B5EF4-FFF2-40B4-BE49-F238E27FC236}">
                        <a16:creationId xmlns:a16="http://schemas.microsoft.com/office/drawing/2014/main" id="{00000000-0008-0000-0900-000060010000}"/>
                      </a:ext>
                    </a:extLst>
                  </xdr:cNvPr>
                  <xdr:cNvSpPr/>
                </xdr:nvSpPr>
                <xdr:spPr>
                  <a:xfrm>
                    <a:off x="22116785" y="1466235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3A018066-334A-4025-B06E-328DF615518E}" type="TxLink">
                      <a:rPr lang="en-US" sz="1100" b="1" i="0" u="none" strike="noStrike">
                        <a:solidFill>
                          <a:srgbClr val="FFFF00"/>
                        </a:solidFill>
                        <a:latin typeface="Century Gothic"/>
                      </a:rPr>
                      <a:pPr algn="ctr"/>
                      <a:t>3</a:t>
                    </a:fld>
                    <a:endParaRPr lang="es-CO" sz="1100" b="1">
                      <a:solidFill>
                        <a:srgbClr val="FFFF00"/>
                      </a:solidFill>
                    </a:endParaRPr>
                  </a:p>
                </xdr:txBody>
              </xdr:sp>
            </xdr:grpSp>
          </xdr:grpSp>
        </xdr:grpSp>
        <xdr:grpSp>
          <xdr:nvGrpSpPr>
            <xdr:cNvPr id="246" name="Grupo 245">
              <a:extLst>
                <a:ext uri="{FF2B5EF4-FFF2-40B4-BE49-F238E27FC236}">
                  <a16:creationId xmlns:a16="http://schemas.microsoft.com/office/drawing/2014/main" id="{00000000-0008-0000-0900-0000F6000000}"/>
                </a:ext>
              </a:extLst>
            </xdr:cNvPr>
            <xdr:cNvGrpSpPr/>
          </xdr:nvGrpSpPr>
          <xdr:grpSpPr>
            <a:xfrm>
              <a:off x="12023189" y="15669185"/>
              <a:ext cx="6951194" cy="1653631"/>
              <a:chOff x="11988224" y="16761025"/>
              <a:chExt cx="6931533" cy="1640037"/>
            </a:xfrm>
          </xdr:grpSpPr>
          <xdr:grpSp>
            <xdr:nvGrpSpPr>
              <xdr:cNvPr id="324" name="Grupo 323">
                <a:extLst>
                  <a:ext uri="{FF2B5EF4-FFF2-40B4-BE49-F238E27FC236}">
                    <a16:creationId xmlns:a16="http://schemas.microsoft.com/office/drawing/2014/main" id="{00000000-0008-0000-0900-000044010000}"/>
                  </a:ext>
                </a:extLst>
              </xdr:cNvPr>
              <xdr:cNvGrpSpPr/>
            </xdr:nvGrpSpPr>
            <xdr:grpSpPr>
              <a:xfrm>
                <a:off x="11988224" y="16761025"/>
                <a:ext cx="719623" cy="1640037"/>
                <a:chOff x="27415385" y="8406495"/>
                <a:chExt cx="720130" cy="1610348"/>
              </a:xfrm>
            </xdr:grpSpPr>
            <xdr:sp macro="" textlink="">
              <xdr:nvSpPr>
                <xdr:cNvPr id="335" name="Rectángulo 334">
                  <a:extLst>
                    <a:ext uri="{FF2B5EF4-FFF2-40B4-BE49-F238E27FC236}">
                      <a16:creationId xmlns:a16="http://schemas.microsoft.com/office/drawing/2014/main" id="{00000000-0008-0000-0900-00004F010000}"/>
                    </a:ext>
                  </a:extLst>
                </xdr:cNvPr>
                <xdr:cNvSpPr/>
              </xdr:nvSpPr>
              <xdr:spPr>
                <a:xfrm>
                  <a:off x="27415385" y="8504462"/>
                  <a:ext cx="720130"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36" name="CuadroTexto 335">
                  <a:extLst>
                    <a:ext uri="{FF2B5EF4-FFF2-40B4-BE49-F238E27FC236}">
                      <a16:creationId xmlns:a16="http://schemas.microsoft.com/office/drawing/2014/main" id="{00000000-0008-0000-0900-000050010000}"/>
                    </a:ext>
                  </a:extLst>
                </xdr:cNvPr>
                <xdr:cNvSpPr txBox="1"/>
              </xdr:nvSpPr>
              <xdr:spPr>
                <a:xfrm rot="16200000">
                  <a:off x="26970019"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325" name="Flecha abajo 324">
                <a:extLst>
                  <a:ext uri="{FF2B5EF4-FFF2-40B4-BE49-F238E27FC236}">
                    <a16:creationId xmlns:a16="http://schemas.microsoft.com/office/drawing/2014/main" id="{00000000-0008-0000-0900-000045010000}"/>
                  </a:ext>
                </a:extLst>
              </xdr:cNvPr>
              <xdr:cNvSpPr/>
            </xdr:nvSpPr>
            <xdr:spPr>
              <a:xfrm rot="10800000">
                <a:off x="17373214" y="16880679"/>
                <a:ext cx="467671" cy="293310"/>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26" name="Grupo 325">
                <a:extLst>
                  <a:ext uri="{FF2B5EF4-FFF2-40B4-BE49-F238E27FC236}">
                    <a16:creationId xmlns:a16="http://schemas.microsoft.com/office/drawing/2014/main" id="{00000000-0008-0000-0900-000046010000}"/>
                  </a:ext>
                </a:extLst>
              </xdr:cNvPr>
              <xdr:cNvGrpSpPr/>
            </xdr:nvGrpSpPr>
            <xdr:grpSpPr>
              <a:xfrm>
                <a:off x="16761275" y="17298378"/>
                <a:ext cx="2158482" cy="736372"/>
                <a:chOff x="16761275" y="17298378"/>
                <a:chExt cx="2158482" cy="736372"/>
              </a:xfrm>
            </xdr:grpSpPr>
            <xdr:grpSp>
              <xdr:nvGrpSpPr>
                <xdr:cNvPr id="327" name="Grupo 326">
                  <a:extLst>
                    <a:ext uri="{FF2B5EF4-FFF2-40B4-BE49-F238E27FC236}">
                      <a16:creationId xmlns:a16="http://schemas.microsoft.com/office/drawing/2014/main" id="{00000000-0008-0000-0900-000047010000}"/>
                    </a:ext>
                  </a:extLst>
                </xdr:cNvPr>
                <xdr:cNvGrpSpPr/>
              </xdr:nvGrpSpPr>
              <xdr:grpSpPr>
                <a:xfrm>
                  <a:off x="16761275" y="17298378"/>
                  <a:ext cx="2158482" cy="736372"/>
                  <a:chOff x="28351843" y="12455641"/>
                  <a:chExt cx="2160000" cy="723042"/>
                </a:xfrm>
              </xdr:grpSpPr>
              <xdr:sp macro="" textlink="">
                <xdr:nvSpPr>
                  <xdr:cNvPr id="332" name="Cheurón 331">
                    <a:extLst>
                      <a:ext uri="{FF2B5EF4-FFF2-40B4-BE49-F238E27FC236}">
                        <a16:creationId xmlns:a16="http://schemas.microsoft.com/office/drawing/2014/main" id="{00000000-0008-0000-0900-00004C01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33" name="CuadroTexto 332">
                    <a:extLst>
                      <a:ext uri="{FF2B5EF4-FFF2-40B4-BE49-F238E27FC236}">
                        <a16:creationId xmlns:a16="http://schemas.microsoft.com/office/drawing/2014/main" id="{00000000-0008-0000-0900-00004D010000}"/>
                      </a:ext>
                    </a:extLst>
                  </xdr:cNvPr>
                  <xdr:cNvSpPr txBox="1"/>
                </xdr:nvSpPr>
                <xdr:spPr>
                  <a:xfrm>
                    <a:off x="28448411" y="12455641"/>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W$28">
                <xdr:nvSpPr>
                  <xdr:cNvPr id="334" name="Rectángulo redondeado 333">
                    <a:extLst>
                      <a:ext uri="{FF2B5EF4-FFF2-40B4-BE49-F238E27FC236}">
                        <a16:creationId xmlns:a16="http://schemas.microsoft.com/office/drawing/2014/main" id="{00000000-0008-0000-0900-00004E010000}"/>
                      </a:ext>
                    </a:extLst>
                  </xdr:cNvPr>
                  <xdr:cNvSpPr/>
                </xdr:nvSpPr>
                <xdr:spPr>
                  <a:xfrm>
                    <a:off x="29530050" y="12556922"/>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5B844AB-9ACB-41A6-9DAE-73EF6EAC849D}" type="TxLink">
                      <a:rPr lang="en-US" sz="1600" b="1" i="0" u="none" strike="noStrike">
                        <a:solidFill>
                          <a:srgbClr val="000000"/>
                        </a:solidFill>
                        <a:latin typeface="Century Gothic"/>
                      </a:rPr>
                      <a:pPr algn="ctr"/>
                      <a:t>-</a:t>
                    </a:fld>
                    <a:endParaRPr lang="es-CO" sz="5400">
                      <a:solidFill>
                        <a:schemeClr val="tx1">
                          <a:lumMod val="95000"/>
                          <a:lumOff val="5000"/>
                        </a:schemeClr>
                      </a:solidFill>
                    </a:endParaRPr>
                  </a:p>
                </xdr:txBody>
              </xdr:sp>
            </xdr:grpSp>
            <xdr:grpSp>
              <xdr:nvGrpSpPr>
                <xdr:cNvPr id="328" name="Grupo 327">
                  <a:extLst>
                    <a:ext uri="{FF2B5EF4-FFF2-40B4-BE49-F238E27FC236}">
                      <a16:creationId xmlns:a16="http://schemas.microsoft.com/office/drawing/2014/main" id="{00000000-0008-0000-0900-000048010000}"/>
                    </a:ext>
                  </a:extLst>
                </xdr:cNvPr>
                <xdr:cNvGrpSpPr/>
              </xdr:nvGrpSpPr>
              <xdr:grpSpPr>
                <a:xfrm>
                  <a:off x="17936902" y="17738133"/>
                  <a:ext cx="825525" cy="275854"/>
                  <a:chOff x="17936902" y="17919972"/>
                  <a:chExt cx="825525" cy="275854"/>
                </a:xfrm>
              </xdr:grpSpPr>
              <xdr:sp macro="" textlink="">
                <xdr:nvSpPr>
                  <xdr:cNvPr id="329" name="CuadroTexto 328">
                    <a:extLst>
                      <a:ext uri="{FF2B5EF4-FFF2-40B4-BE49-F238E27FC236}">
                        <a16:creationId xmlns:a16="http://schemas.microsoft.com/office/drawing/2014/main" id="{00000000-0008-0000-0900-000049010000}"/>
                      </a:ext>
                    </a:extLst>
                  </xdr:cNvPr>
                  <xdr:cNvSpPr txBox="1"/>
                </xdr:nvSpPr>
                <xdr:spPr>
                  <a:xfrm>
                    <a:off x="17936902" y="1792190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chemeClr val="tx1">
                            <a:lumMod val="95000"/>
                            <a:lumOff val="5000"/>
                          </a:schemeClr>
                        </a:solidFill>
                        <a:latin typeface="Century Gothic" panose="020B0502020202020204" pitchFamily="34" charset="0"/>
                      </a:rPr>
                      <a:t>(</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  </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a:t>
                    </a:r>
                  </a:p>
                </xdr:txBody>
              </xdr:sp>
              <xdr:sp macro="" textlink="$R$28">
                <xdr:nvSpPr>
                  <xdr:cNvPr id="330" name="Rectángulo 329">
                    <a:extLst>
                      <a:ext uri="{FF2B5EF4-FFF2-40B4-BE49-F238E27FC236}">
                        <a16:creationId xmlns:a16="http://schemas.microsoft.com/office/drawing/2014/main" id="{00000000-0008-0000-0900-00004A010000}"/>
                      </a:ext>
                    </a:extLst>
                  </xdr:cNvPr>
                  <xdr:cNvSpPr/>
                </xdr:nvSpPr>
                <xdr:spPr>
                  <a:xfrm>
                    <a:off x="17989607" y="1791997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4D1A9E-5A82-4160-8A7B-468AADD86656}" type="TxLink">
                      <a:rPr lang="en-US" sz="1100" b="1" i="0" u="none" strike="noStrike">
                        <a:solidFill>
                          <a:schemeClr val="tx1">
                            <a:lumMod val="95000"/>
                            <a:lumOff val="5000"/>
                          </a:schemeClr>
                        </a:solidFill>
                        <a:latin typeface="Century Gothic"/>
                      </a:rPr>
                      <a:pPr algn="ctr"/>
                      <a:t>-</a:t>
                    </a:fld>
                    <a:endParaRPr lang="es-CO" sz="1100" b="1">
                      <a:solidFill>
                        <a:schemeClr val="tx1">
                          <a:lumMod val="95000"/>
                          <a:lumOff val="5000"/>
                        </a:schemeClr>
                      </a:solidFill>
                    </a:endParaRPr>
                  </a:p>
                </xdr:txBody>
              </xdr:sp>
              <xdr:sp macro="" textlink="$L$28">
                <xdr:nvSpPr>
                  <xdr:cNvPr id="331" name="Rectángulo 330">
                    <a:extLst>
                      <a:ext uri="{FF2B5EF4-FFF2-40B4-BE49-F238E27FC236}">
                        <a16:creationId xmlns:a16="http://schemas.microsoft.com/office/drawing/2014/main" id="{00000000-0008-0000-0900-00004B010000}"/>
                      </a:ext>
                    </a:extLst>
                  </xdr:cNvPr>
                  <xdr:cNvSpPr/>
                </xdr:nvSpPr>
                <xdr:spPr>
                  <a:xfrm>
                    <a:off x="18275603" y="1791997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AA13C1-E294-4B8C-BEFF-DC806D88A057}" type="TxLink">
                      <a:rPr lang="en-US" sz="1100" b="1" i="0" u="none" strike="noStrike">
                        <a:solidFill>
                          <a:schemeClr val="tx1">
                            <a:lumMod val="95000"/>
                            <a:lumOff val="5000"/>
                          </a:schemeClr>
                        </a:solidFill>
                        <a:latin typeface="Century Gothic"/>
                      </a:rPr>
                      <a:pPr algn="ctr"/>
                      <a:t>-</a:t>
                    </a:fld>
                    <a:endParaRPr lang="es-CO" sz="1100" b="1">
                      <a:solidFill>
                        <a:schemeClr val="tx1">
                          <a:lumMod val="95000"/>
                          <a:lumOff val="5000"/>
                        </a:schemeClr>
                      </a:solidFill>
                    </a:endParaRPr>
                  </a:p>
                </xdr:txBody>
              </xdr:sp>
            </xdr:grpSp>
          </xdr:grpSp>
        </xdr:grpSp>
        <xdr:grpSp>
          <xdr:nvGrpSpPr>
            <xdr:cNvPr id="247" name="Grupo 246">
              <a:extLst>
                <a:ext uri="{FF2B5EF4-FFF2-40B4-BE49-F238E27FC236}">
                  <a16:creationId xmlns:a16="http://schemas.microsoft.com/office/drawing/2014/main" id="{00000000-0008-0000-0900-0000F7000000}"/>
                </a:ext>
              </a:extLst>
            </xdr:cNvPr>
            <xdr:cNvGrpSpPr/>
          </xdr:nvGrpSpPr>
          <xdr:grpSpPr>
            <a:xfrm>
              <a:off x="12034121" y="13753606"/>
              <a:ext cx="10833033" cy="1945018"/>
              <a:chOff x="12034121" y="13753606"/>
              <a:chExt cx="10833033" cy="1945018"/>
            </a:xfrm>
          </xdr:grpSpPr>
          <xdr:grpSp>
            <xdr:nvGrpSpPr>
              <xdr:cNvPr id="248" name="Grupo 247">
                <a:extLst>
                  <a:ext uri="{FF2B5EF4-FFF2-40B4-BE49-F238E27FC236}">
                    <a16:creationId xmlns:a16="http://schemas.microsoft.com/office/drawing/2014/main" id="{00000000-0008-0000-0900-0000F8000000}"/>
                  </a:ext>
                </a:extLst>
              </xdr:cNvPr>
              <xdr:cNvGrpSpPr/>
            </xdr:nvGrpSpPr>
            <xdr:grpSpPr>
              <a:xfrm>
                <a:off x="16784752" y="14895774"/>
                <a:ext cx="2158192" cy="744715"/>
                <a:chOff x="16755119" y="14887307"/>
                <a:chExt cx="2158192" cy="753182"/>
              </a:xfrm>
            </xdr:grpSpPr>
            <xdr:grpSp>
              <xdr:nvGrpSpPr>
                <xdr:cNvPr id="316" name="Grupo 315">
                  <a:extLst>
                    <a:ext uri="{FF2B5EF4-FFF2-40B4-BE49-F238E27FC236}">
                      <a16:creationId xmlns:a16="http://schemas.microsoft.com/office/drawing/2014/main" id="{00000000-0008-0000-0900-00003C010000}"/>
                    </a:ext>
                  </a:extLst>
                </xdr:cNvPr>
                <xdr:cNvGrpSpPr/>
              </xdr:nvGrpSpPr>
              <xdr:grpSpPr>
                <a:xfrm>
                  <a:off x="16755119" y="14887307"/>
                  <a:ext cx="2158192" cy="753182"/>
                  <a:chOff x="28351843" y="12458683"/>
                  <a:chExt cx="2160000" cy="726638"/>
                </a:xfrm>
              </xdr:grpSpPr>
              <xdr:sp macro="" textlink="">
                <xdr:nvSpPr>
                  <xdr:cNvPr id="321" name="Cheurón 320">
                    <a:extLst>
                      <a:ext uri="{FF2B5EF4-FFF2-40B4-BE49-F238E27FC236}">
                        <a16:creationId xmlns:a16="http://schemas.microsoft.com/office/drawing/2014/main" id="{00000000-0008-0000-0900-000041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22" name="CuadroTexto 321">
                    <a:extLst>
                      <a:ext uri="{FF2B5EF4-FFF2-40B4-BE49-F238E27FC236}">
                        <a16:creationId xmlns:a16="http://schemas.microsoft.com/office/drawing/2014/main" id="{00000000-0008-0000-0900-000042010000}"/>
                      </a:ext>
                    </a:extLst>
                  </xdr:cNvPr>
                  <xdr:cNvSpPr txBox="1"/>
                </xdr:nvSpPr>
                <xdr:spPr>
                  <a:xfrm>
                    <a:off x="2842117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W$26">
                <xdr:nvSpPr>
                  <xdr:cNvPr id="323" name="Rectángulo redondeado 322">
                    <a:extLst>
                      <a:ext uri="{FF2B5EF4-FFF2-40B4-BE49-F238E27FC236}">
                        <a16:creationId xmlns:a16="http://schemas.microsoft.com/office/drawing/2014/main" id="{00000000-0008-0000-0900-000043010000}"/>
                      </a:ext>
                    </a:extLst>
                  </xdr:cNvPr>
                  <xdr:cNvSpPr/>
                </xdr:nvSpPr>
                <xdr:spPr>
                  <a:xfrm>
                    <a:off x="29539922"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F14B772-6399-40AA-BAD0-832D35E26479}" type="TxLink">
                      <a:rPr lang="en-US" sz="1600" b="1" i="0" u="none" strike="noStrike">
                        <a:solidFill>
                          <a:srgbClr val="FFFF00"/>
                        </a:solidFill>
                        <a:latin typeface="Century Gothic"/>
                      </a:rPr>
                      <a:pPr algn="ctr"/>
                      <a:t>20,0%</a:t>
                    </a:fld>
                    <a:endParaRPr lang="es-CO" sz="4400">
                      <a:solidFill>
                        <a:srgbClr val="FFFF00"/>
                      </a:solidFill>
                    </a:endParaRPr>
                  </a:p>
                </xdr:txBody>
              </xdr:sp>
            </xdr:grpSp>
            <xdr:grpSp>
              <xdr:nvGrpSpPr>
                <xdr:cNvPr id="317" name="Grupo 316">
                  <a:extLst>
                    <a:ext uri="{FF2B5EF4-FFF2-40B4-BE49-F238E27FC236}">
                      <a16:creationId xmlns:a16="http://schemas.microsoft.com/office/drawing/2014/main" id="{00000000-0008-0000-0900-00003D010000}"/>
                    </a:ext>
                  </a:extLst>
                </xdr:cNvPr>
                <xdr:cNvGrpSpPr/>
              </xdr:nvGrpSpPr>
              <xdr:grpSpPr>
                <a:xfrm>
                  <a:off x="17973656" y="15355669"/>
                  <a:ext cx="825525" cy="283551"/>
                  <a:chOff x="17958262" y="16577754"/>
                  <a:chExt cx="825525" cy="275854"/>
                </a:xfrm>
              </xdr:grpSpPr>
              <xdr:sp macro="" textlink="">
                <xdr:nvSpPr>
                  <xdr:cNvPr id="318" name="CuadroTexto 317">
                    <a:extLst>
                      <a:ext uri="{FF2B5EF4-FFF2-40B4-BE49-F238E27FC236}">
                        <a16:creationId xmlns:a16="http://schemas.microsoft.com/office/drawing/2014/main" id="{00000000-0008-0000-0900-00003E010000}"/>
                      </a:ext>
                    </a:extLst>
                  </xdr:cNvPr>
                  <xdr:cNvSpPr txBox="1"/>
                </xdr:nvSpPr>
                <xdr:spPr>
                  <a:xfrm>
                    <a:off x="17958262" y="16579690"/>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6">
                <xdr:nvSpPr>
                  <xdr:cNvPr id="319" name="Rectángulo 318">
                    <a:extLst>
                      <a:ext uri="{FF2B5EF4-FFF2-40B4-BE49-F238E27FC236}">
                        <a16:creationId xmlns:a16="http://schemas.microsoft.com/office/drawing/2014/main" id="{00000000-0008-0000-0900-00003F010000}"/>
                      </a:ext>
                    </a:extLst>
                  </xdr:cNvPr>
                  <xdr:cNvSpPr/>
                </xdr:nvSpPr>
                <xdr:spPr>
                  <a:xfrm>
                    <a:off x="18013854" y="1657775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3509323-1E08-4B33-B1B9-F0440CD587E8}"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L$26">
                <xdr:nvSpPr>
                  <xdr:cNvPr id="320" name="Rectángulo 319">
                    <a:extLst>
                      <a:ext uri="{FF2B5EF4-FFF2-40B4-BE49-F238E27FC236}">
                        <a16:creationId xmlns:a16="http://schemas.microsoft.com/office/drawing/2014/main" id="{00000000-0008-0000-0900-000040010000}"/>
                      </a:ext>
                    </a:extLst>
                  </xdr:cNvPr>
                  <xdr:cNvSpPr/>
                </xdr:nvSpPr>
                <xdr:spPr>
                  <a:xfrm>
                    <a:off x="18299850" y="1657775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C70EFFCE-7401-4149-9DC7-126244A62E4C}" type="TxLink">
                      <a:rPr lang="en-US" sz="1100" b="1" i="0" u="none" strike="noStrike">
                        <a:solidFill>
                          <a:srgbClr val="FFFF00"/>
                        </a:solidFill>
                        <a:latin typeface="Century Gothic"/>
                      </a:rPr>
                      <a:pPr algn="ctr"/>
                      <a:t>10</a:t>
                    </a:fld>
                    <a:endParaRPr lang="es-CO" sz="1100" b="1">
                      <a:solidFill>
                        <a:srgbClr val="FFFF00"/>
                      </a:solidFill>
                    </a:endParaRPr>
                  </a:p>
                </xdr:txBody>
              </xdr:sp>
            </xdr:grpSp>
          </xdr:grpSp>
          <xdr:grpSp>
            <xdr:nvGrpSpPr>
              <xdr:cNvPr id="249" name="Grupo 248">
                <a:extLst>
                  <a:ext uri="{FF2B5EF4-FFF2-40B4-BE49-F238E27FC236}">
                    <a16:creationId xmlns:a16="http://schemas.microsoft.com/office/drawing/2014/main" id="{00000000-0008-0000-0900-0000F9000000}"/>
                  </a:ext>
                </a:extLst>
              </xdr:cNvPr>
              <xdr:cNvGrpSpPr/>
            </xdr:nvGrpSpPr>
            <xdr:grpSpPr>
              <a:xfrm>
                <a:off x="12034121" y="14046320"/>
                <a:ext cx="721666" cy="1652304"/>
                <a:chOff x="27415455" y="8406495"/>
                <a:chExt cx="720604" cy="1610348"/>
              </a:xfrm>
            </xdr:grpSpPr>
            <xdr:sp macro="" textlink="">
              <xdr:nvSpPr>
                <xdr:cNvPr id="314" name="Rectángulo 313">
                  <a:extLst>
                    <a:ext uri="{FF2B5EF4-FFF2-40B4-BE49-F238E27FC236}">
                      <a16:creationId xmlns:a16="http://schemas.microsoft.com/office/drawing/2014/main" id="{00000000-0008-0000-0900-00003A010000}"/>
                    </a:ext>
                  </a:extLst>
                </xdr:cNvPr>
                <xdr:cNvSpPr/>
              </xdr:nvSpPr>
              <xdr:spPr>
                <a:xfrm>
                  <a:off x="27415455" y="8450034"/>
                  <a:ext cx="720604"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315" name="CuadroTexto 314">
                  <a:extLst>
                    <a:ext uri="{FF2B5EF4-FFF2-40B4-BE49-F238E27FC236}">
                      <a16:creationId xmlns:a16="http://schemas.microsoft.com/office/drawing/2014/main" id="{00000000-0008-0000-0900-00003B010000}"/>
                    </a:ext>
                  </a:extLst>
                </xdr:cNvPr>
                <xdr:cNvSpPr txBox="1"/>
              </xdr:nvSpPr>
              <xdr:spPr>
                <a:xfrm rot="16200000">
                  <a:off x="26959463"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250" name="Flecha abajo 249">
                <a:extLst>
                  <a:ext uri="{FF2B5EF4-FFF2-40B4-BE49-F238E27FC236}">
                    <a16:creationId xmlns:a16="http://schemas.microsoft.com/office/drawing/2014/main" id="{00000000-0008-0000-0900-0000FA000000}"/>
                  </a:ext>
                </a:extLst>
              </xdr:cNvPr>
              <xdr:cNvSpPr/>
            </xdr:nvSpPr>
            <xdr:spPr>
              <a:xfrm rot="10800000">
                <a:off x="17419862" y="13753606"/>
                <a:ext cx="468690" cy="295503"/>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51" name="Grupo 250">
                <a:extLst>
                  <a:ext uri="{FF2B5EF4-FFF2-40B4-BE49-F238E27FC236}">
                    <a16:creationId xmlns:a16="http://schemas.microsoft.com/office/drawing/2014/main" id="{00000000-0008-0000-0900-0000FB000000}"/>
                  </a:ext>
                </a:extLst>
              </xdr:cNvPr>
              <xdr:cNvGrpSpPr/>
            </xdr:nvGrpSpPr>
            <xdr:grpSpPr>
              <a:xfrm>
                <a:off x="12857431" y="14099363"/>
                <a:ext cx="2163185" cy="749484"/>
                <a:chOff x="12820100" y="15204109"/>
                <a:chExt cx="2157065" cy="743322"/>
              </a:xfrm>
            </xdr:grpSpPr>
            <xdr:grpSp>
              <xdr:nvGrpSpPr>
                <xdr:cNvPr id="306" name="Grupo 305">
                  <a:extLst>
                    <a:ext uri="{FF2B5EF4-FFF2-40B4-BE49-F238E27FC236}">
                      <a16:creationId xmlns:a16="http://schemas.microsoft.com/office/drawing/2014/main" id="{00000000-0008-0000-0900-000032010000}"/>
                    </a:ext>
                  </a:extLst>
                </xdr:cNvPr>
                <xdr:cNvGrpSpPr/>
              </xdr:nvGrpSpPr>
              <xdr:grpSpPr>
                <a:xfrm>
                  <a:off x="12820100" y="15204109"/>
                  <a:ext cx="2157065" cy="739441"/>
                  <a:chOff x="28351843" y="12458683"/>
                  <a:chExt cx="2160000" cy="726638"/>
                </a:xfrm>
              </xdr:grpSpPr>
              <xdr:sp macro="" textlink="">
                <xdr:nvSpPr>
                  <xdr:cNvPr id="311" name="Cheurón 310">
                    <a:extLst>
                      <a:ext uri="{FF2B5EF4-FFF2-40B4-BE49-F238E27FC236}">
                        <a16:creationId xmlns:a16="http://schemas.microsoft.com/office/drawing/2014/main" id="{00000000-0008-0000-0900-000037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12" name="CuadroTexto 311">
                    <a:extLst>
                      <a:ext uri="{FF2B5EF4-FFF2-40B4-BE49-F238E27FC236}">
                        <a16:creationId xmlns:a16="http://schemas.microsoft.com/office/drawing/2014/main" id="{00000000-0008-0000-0900-00003801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W$20">
                <xdr:nvSpPr>
                  <xdr:cNvPr id="313" name="Rectángulo redondeado 312">
                    <a:extLst>
                      <a:ext uri="{FF2B5EF4-FFF2-40B4-BE49-F238E27FC236}">
                        <a16:creationId xmlns:a16="http://schemas.microsoft.com/office/drawing/2014/main" id="{00000000-0008-0000-0900-000039010000}"/>
                      </a:ext>
                    </a:extLst>
                  </xdr:cNvPr>
                  <xdr:cNvSpPr/>
                </xdr:nvSpPr>
                <xdr:spPr>
                  <a:xfrm>
                    <a:off x="29557264" y="1257052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1591A4-99B2-4438-8C87-3D02429B92ED}" type="TxLink">
                      <a:rPr lang="en-US" sz="1600" b="1" i="0" u="none" strike="noStrike">
                        <a:solidFill>
                          <a:srgbClr val="FFFF00"/>
                        </a:solidFill>
                        <a:latin typeface="Century Gothic"/>
                      </a:rPr>
                      <a:pPr algn="ctr"/>
                      <a:t>30,0%</a:t>
                    </a:fld>
                    <a:endParaRPr lang="es-CO" sz="2800">
                      <a:solidFill>
                        <a:srgbClr val="FFFF00"/>
                      </a:solidFill>
                    </a:endParaRPr>
                  </a:p>
                </xdr:txBody>
              </xdr:sp>
            </xdr:grpSp>
            <xdr:grpSp>
              <xdr:nvGrpSpPr>
                <xdr:cNvPr id="307" name="Grupo 306">
                  <a:extLst>
                    <a:ext uri="{FF2B5EF4-FFF2-40B4-BE49-F238E27FC236}">
                      <a16:creationId xmlns:a16="http://schemas.microsoft.com/office/drawing/2014/main" id="{00000000-0008-0000-0900-000033010000}"/>
                    </a:ext>
                  </a:extLst>
                </xdr:cNvPr>
                <xdr:cNvGrpSpPr/>
              </xdr:nvGrpSpPr>
              <xdr:grpSpPr>
                <a:xfrm>
                  <a:off x="14033393" y="15671577"/>
                  <a:ext cx="825525" cy="275854"/>
                  <a:chOff x="14059370" y="15832199"/>
                  <a:chExt cx="825525" cy="275854"/>
                </a:xfrm>
              </xdr:grpSpPr>
              <xdr:sp macro="" textlink="">
                <xdr:nvSpPr>
                  <xdr:cNvPr id="308" name="CuadroTexto 307">
                    <a:extLst>
                      <a:ext uri="{FF2B5EF4-FFF2-40B4-BE49-F238E27FC236}">
                        <a16:creationId xmlns:a16="http://schemas.microsoft.com/office/drawing/2014/main" id="{00000000-0008-0000-0900-000034010000}"/>
                      </a:ext>
                    </a:extLst>
                  </xdr:cNvPr>
                  <xdr:cNvSpPr txBox="1"/>
                </xdr:nvSpPr>
                <xdr:spPr>
                  <a:xfrm>
                    <a:off x="14059370" y="15834135"/>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b="0" i="0">
                        <a:solidFill>
                          <a:srgbClr val="FFFF00"/>
                        </a:solidFill>
                        <a:latin typeface="Century Gothic" panose="020B0502020202020204" pitchFamily="34" charset="0"/>
                      </a:rPr>
                      <a:t>(</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  </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a:t>
                    </a:r>
                  </a:p>
                </xdr:txBody>
              </xdr:sp>
              <xdr:sp macro="" textlink="$R$20">
                <xdr:nvSpPr>
                  <xdr:cNvPr id="309" name="Rectángulo 308">
                    <a:extLst>
                      <a:ext uri="{FF2B5EF4-FFF2-40B4-BE49-F238E27FC236}">
                        <a16:creationId xmlns:a16="http://schemas.microsoft.com/office/drawing/2014/main" id="{00000000-0008-0000-0900-000035010000}"/>
                      </a:ext>
                    </a:extLst>
                  </xdr:cNvPr>
                  <xdr:cNvSpPr/>
                </xdr:nvSpPr>
                <xdr:spPr>
                  <a:xfrm>
                    <a:off x="14112075" y="1583219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62A09B3C-8EE8-4317-88A8-0AC55F7494E7}"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L$20">
                <xdr:nvSpPr>
                  <xdr:cNvPr id="310" name="Rectángulo 309">
                    <a:extLst>
                      <a:ext uri="{FF2B5EF4-FFF2-40B4-BE49-F238E27FC236}">
                        <a16:creationId xmlns:a16="http://schemas.microsoft.com/office/drawing/2014/main" id="{00000000-0008-0000-0900-000036010000}"/>
                      </a:ext>
                    </a:extLst>
                  </xdr:cNvPr>
                  <xdr:cNvSpPr/>
                </xdr:nvSpPr>
                <xdr:spPr>
                  <a:xfrm>
                    <a:off x="14398071" y="1583219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DA36E6B-B3D1-46AA-BF3E-F24590E8CDED}" type="TxLink">
                      <a:rPr lang="en-US" sz="1100" b="1" i="0" u="none" strike="noStrike">
                        <a:solidFill>
                          <a:srgbClr val="FFFF00"/>
                        </a:solidFill>
                        <a:latin typeface="Century Gothic"/>
                      </a:rPr>
                      <a:pPr algn="ctr"/>
                      <a:t>40</a:t>
                    </a:fld>
                    <a:endParaRPr lang="es-CO" sz="1100" b="1">
                      <a:solidFill>
                        <a:srgbClr val="FFFF00"/>
                      </a:solidFill>
                    </a:endParaRPr>
                  </a:p>
                </xdr:txBody>
              </xdr:sp>
            </xdr:grpSp>
          </xdr:grpSp>
          <xdr:grpSp>
            <xdr:nvGrpSpPr>
              <xdr:cNvPr id="252" name="Grupo 251">
                <a:extLst>
                  <a:ext uri="{FF2B5EF4-FFF2-40B4-BE49-F238E27FC236}">
                    <a16:creationId xmlns:a16="http://schemas.microsoft.com/office/drawing/2014/main" id="{00000000-0008-0000-0900-0000FC000000}"/>
                  </a:ext>
                </a:extLst>
              </xdr:cNvPr>
              <xdr:cNvGrpSpPr/>
            </xdr:nvGrpSpPr>
            <xdr:grpSpPr>
              <a:xfrm>
                <a:off x="14808847" y="14099363"/>
                <a:ext cx="2171832" cy="749484"/>
                <a:chOff x="14765995" y="15204109"/>
                <a:chExt cx="2165688" cy="743322"/>
              </a:xfrm>
            </xdr:grpSpPr>
            <xdr:grpSp>
              <xdr:nvGrpSpPr>
                <xdr:cNvPr id="298" name="Grupo 297">
                  <a:extLst>
                    <a:ext uri="{FF2B5EF4-FFF2-40B4-BE49-F238E27FC236}">
                      <a16:creationId xmlns:a16="http://schemas.microsoft.com/office/drawing/2014/main" id="{00000000-0008-0000-0900-00002A010000}"/>
                    </a:ext>
                  </a:extLst>
                </xdr:cNvPr>
                <xdr:cNvGrpSpPr/>
              </xdr:nvGrpSpPr>
              <xdr:grpSpPr>
                <a:xfrm>
                  <a:off x="14765995" y="15204109"/>
                  <a:ext cx="2165688" cy="739441"/>
                  <a:chOff x="28351843" y="12458683"/>
                  <a:chExt cx="2168635" cy="726638"/>
                </a:xfrm>
              </xdr:grpSpPr>
              <xdr:sp macro="" textlink="">
                <xdr:nvSpPr>
                  <xdr:cNvPr id="303" name="Cheurón 302">
                    <a:extLst>
                      <a:ext uri="{FF2B5EF4-FFF2-40B4-BE49-F238E27FC236}">
                        <a16:creationId xmlns:a16="http://schemas.microsoft.com/office/drawing/2014/main" id="{00000000-0008-0000-0900-00002F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04" name="CuadroTexto 303">
                    <a:extLst>
                      <a:ext uri="{FF2B5EF4-FFF2-40B4-BE49-F238E27FC236}">
                        <a16:creationId xmlns:a16="http://schemas.microsoft.com/office/drawing/2014/main" id="{00000000-0008-0000-0900-00003001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W$21">
                <xdr:nvSpPr>
                  <xdr:cNvPr id="305" name="Rectángulo redondeado 304">
                    <a:extLst>
                      <a:ext uri="{FF2B5EF4-FFF2-40B4-BE49-F238E27FC236}">
                        <a16:creationId xmlns:a16="http://schemas.microsoft.com/office/drawing/2014/main" id="{00000000-0008-0000-0900-00003101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7D72A0-69F4-4BB2-A822-53CAE2C40151}" type="TxLink">
                      <a:rPr lang="en-US" sz="1600" b="1" i="0" u="none" strike="noStrike">
                        <a:solidFill>
                          <a:srgbClr val="FFFF00"/>
                        </a:solidFill>
                        <a:latin typeface="Century Gothic"/>
                      </a:rPr>
                      <a:pPr algn="ctr"/>
                      <a:t>0,9%</a:t>
                    </a:fld>
                    <a:endParaRPr lang="es-CO" sz="3600">
                      <a:solidFill>
                        <a:srgbClr val="FFFF00"/>
                      </a:solidFill>
                    </a:endParaRPr>
                  </a:p>
                </xdr:txBody>
              </xdr:sp>
            </xdr:grpSp>
            <xdr:grpSp>
              <xdr:nvGrpSpPr>
                <xdr:cNvPr id="299" name="Grupo 298">
                  <a:extLst>
                    <a:ext uri="{FF2B5EF4-FFF2-40B4-BE49-F238E27FC236}">
                      <a16:creationId xmlns:a16="http://schemas.microsoft.com/office/drawing/2014/main" id="{00000000-0008-0000-0900-00002B010000}"/>
                    </a:ext>
                  </a:extLst>
                </xdr:cNvPr>
                <xdr:cNvGrpSpPr/>
              </xdr:nvGrpSpPr>
              <xdr:grpSpPr>
                <a:xfrm>
                  <a:off x="15995542" y="15671577"/>
                  <a:ext cx="825525" cy="275854"/>
                  <a:chOff x="16012860" y="15776783"/>
                  <a:chExt cx="825525" cy="275854"/>
                </a:xfrm>
              </xdr:grpSpPr>
              <xdr:sp macro="" textlink="">
                <xdr:nvSpPr>
                  <xdr:cNvPr id="300" name="CuadroTexto 299">
                    <a:extLst>
                      <a:ext uri="{FF2B5EF4-FFF2-40B4-BE49-F238E27FC236}">
                        <a16:creationId xmlns:a16="http://schemas.microsoft.com/office/drawing/2014/main" id="{00000000-0008-0000-0900-00002C010000}"/>
                      </a:ext>
                    </a:extLst>
                  </xdr:cNvPr>
                  <xdr:cNvSpPr txBox="1"/>
                </xdr:nvSpPr>
                <xdr:spPr>
                  <a:xfrm>
                    <a:off x="16012860" y="1577871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1">
                <xdr:nvSpPr>
                  <xdr:cNvPr id="301" name="Rectángulo 300">
                    <a:extLst>
                      <a:ext uri="{FF2B5EF4-FFF2-40B4-BE49-F238E27FC236}">
                        <a16:creationId xmlns:a16="http://schemas.microsoft.com/office/drawing/2014/main" id="{00000000-0008-0000-0900-00002D010000}"/>
                      </a:ext>
                    </a:extLst>
                  </xdr:cNvPr>
                  <xdr:cNvSpPr/>
                </xdr:nvSpPr>
                <xdr:spPr>
                  <a:xfrm>
                    <a:off x="16039588" y="1577678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BAEC7CF-A364-4E4D-A8A1-C10568A38523}"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L$21">
                <xdr:nvSpPr>
                  <xdr:cNvPr id="302" name="Rectángulo 301">
                    <a:extLst>
                      <a:ext uri="{FF2B5EF4-FFF2-40B4-BE49-F238E27FC236}">
                        <a16:creationId xmlns:a16="http://schemas.microsoft.com/office/drawing/2014/main" id="{00000000-0008-0000-0900-00002E010000}"/>
                      </a:ext>
                    </a:extLst>
                  </xdr:cNvPr>
                  <xdr:cNvSpPr/>
                </xdr:nvSpPr>
                <xdr:spPr>
                  <a:xfrm>
                    <a:off x="16325584" y="1577678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C43F85B6-6953-4072-87E0-788A089EFDC5}" type="TxLink">
                      <a:rPr lang="en-US" sz="1100" b="1" i="0" u="none" strike="noStrike">
                        <a:solidFill>
                          <a:srgbClr val="FFFF00"/>
                        </a:solidFill>
                        <a:latin typeface="Century Gothic"/>
                      </a:rPr>
                      <a:pPr algn="ctr"/>
                      <a:t>109</a:t>
                    </a:fld>
                    <a:endParaRPr lang="es-CO" sz="1100" b="1">
                      <a:solidFill>
                        <a:srgbClr val="FFFF00"/>
                      </a:solidFill>
                    </a:endParaRPr>
                  </a:p>
                </xdr:txBody>
              </xdr:sp>
            </xdr:grpSp>
          </xdr:grpSp>
          <xdr:grpSp>
            <xdr:nvGrpSpPr>
              <xdr:cNvPr id="253" name="Grupo 252">
                <a:extLst>
                  <a:ext uri="{FF2B5EF4-FFF2-40B4-BE49-F238E27FC236}">
                    <a16:creationId xmlns:a16="http://schemas.microsoft.com/office/drawing/2014/main" id="{00000000-0008-0000-0900-0000FD000000}"/>
                  </a:ext>
                </a:extLst>
              </xdr:cNvPr>
              <xdr:cNvGrpSpPr/>
            </xdr:nvGrpSpPr>
            <xdr:grpSpPr>
              <a:xfrm>
                <a:off x="16773883" y="14099362"/>
                <a:ext cx="2171832" cy="749485"/>
                <a:chOff x="16725472" y="15204109"/>
                <a:chExt cx="2165688" cy="743323"/>
              </a:xfrm>
            </xdr:grpSpPr>
            <xdr:grpSp>
              <xdr:nvGrpSpPr>
                <xdr:cNvPr id="290" name="Grupo 289">
                  <a:extLst>
                    <a:ext uri="{FF2B5EF4-FFF2-40B4-BE49-F238E27FC236}">
                      <a16:creationId xmlns:a16="http://schemas.microsoft.com/office/drawing/2014/main" id="{00000000-0008-0000-0900-000022010000}"/>
                    </a:ext>
                  </a:extLst>
                </xdr:cNvPr>
                <xdr:cNvGrpSpPr/>
              </xdr:nvGrpSpPr>
              <xdr:grpSpPr>
                <a:xfrm>
                  <a:off x="16725472" y="15204109"/>
                  <a:ext cx="2165688" cy="739441"/>
                  <a:chOff x="28351843" y="12458683"/>
                  <a:chExt cx="2168635" cy="726638"/>
                </a:xfrm>
              </xdr:grpSpPr>
              <xdr:sp macro="" textlink="">
                <xdr:nvSpPr>
                  <xdr:cNvPr id="295" name="Cheurón 294">
                    <a:extLst>
                      <a:ext uri="{FF2B5EF4-FFF2-40B4-BE49-F238E27FC236}">
                        <a16:creationId xmlns:a16="http://schemas.microsoft.com/office/drawing/2014/main" id="{00000000-0008-0000-0900-000027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96" name="CuadroTexto 295">
                    <a:extLst>
                      <a:ext uri="{FF2B5EF4-FFF2-40B4-BE49-F238E27FC236}">
                        <a16:creationId xmlns:a16="http://schemas.microsoft.com/office/drawing/2014/main" id="{00000000-0008-0000-0900-000028010000}"/>
                      </a:ext>
                    </a:extLst>
                  </xdr:cNvPr>
                  <xdr:cNvSpPr txBox="1"/>
                </xdr:nvSpPr>
                <xdr:spPr>
                  <a:xfrm>
                    <a:off x="28452122"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W$22">
                <xdr:nvSpPr>
                  <xdr:cNvPr id="297" name="Rectángulo redondeado 296">
                    <a:extLst>
                      <a:ext uri="{FF2B5EF4-FFF2-40B4-BE49-F238E27FC236}">
                        <a16:creationId xmlns:a16="http://schemas.microsoft.com/office/drawing/2014/main" id="{00000000-0008-0000-0900-00002901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A1C176-E0AA-42AE-9DC1-4C3F2D9FCA9A}" type="TxLink">
                      <a:rPr lang="en-US" sz="1600" b="1" i="0" u="none" strike="noStrike">
                        <a:solidFill>
                          <a:srgbClr val="FFFF00"/>
                        </a:solidFill>
                        <a:latin typeface="Century Gothic"/>
                      </a:rPr>
                      <a:pPr algn="ctr"/>
                      <a:t>0,0%</a:t>
                    </a:fld>
                    <a:endParaRPr lang="es-CO" sz="4400">
                      <a:solidFill>
                        <a:srgbClr val="FFFF00"/>
                      </a:solidFill>
                    </a:endParaRPr>
                  </a:p>
                </xdr:txBody>
              </xdr:sp>
            </xdr:grpSp>
            <xdr:grpSp>
              <xdr:nvGrpSpPr>
                <xdr:cNvPr id="291" name="Grupo 290">
                  <a:extLst>
                    <a:ext uri="{FF2B5EF4-FFF2-40B4-BE49-F238E27FC236}">
                      <a16:creationId xmlns:a16="http://schemas.microsoft.com/office/drawing/2014/main" id="{00000000-0008-0000-0900-000023010000}"/>
                    </a:ext>
                  </a:extLst>
                </xdr:cNvPr>
                <xdr:cNvGrpSpPr/>
              </xdr:nvGrpSpPr>
              <xdr:grpSpPr>
                <a:xfrm>
                  <a:off x="17949031" y="15671575"/>
                  <a:ext cx="825525" cy="275857"/>
                  <a:chOff x="17966349" y="15786307"/>
                  <a:chExt cx="825525" cy="275857"/>
                </a:xfrm>
              </xdr:grpSpPr>
              <xdr:sp macro="" textlink="">
                <xdr:nvSpPr>
                  <xdr:cNvPr id="292" name="CuadroTexto 291">
                    <a:extLst>
                      <a:ext uri="{FF2B5EF4-FFF2-40B4-BE49-F238E27FC236}">
                        <a16:creationId xmlns:a16="http://schemas.microsoft.com/office/drawing/2014/main" id="{00000000-0008-0000-0900-000024010000}"/>
                      </a:ext>
                    </a:extLst>
                  </xdr:cNvPr>
                  <xdr:cNvSpPr txBox="1"/>
                </xdr:nvSpPr>
                <xdr:spPr>
                  <a:xfrm>
                    <a:off x="17966349" y="15788245"/>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2">
                <xdr:nvSpPr>
                  <xdr:cNvPr id="293" name="Rectángulo 292">
                    <a:extLst>
                      <a:ext uri="{FF2B5EF4-FFF2-40B4-BE49-F238E27FC236}">
                        <a16:creationId xmlns:a16="http://schemas.microsoft.com/office/drawing/2014/main" id="{00000000-0008-0000-0900-000025010000}"/>
                      </a:ext>
                    </a:extLst>
                  </xdr:cNvPr>
                  <xdr:cNvSpPr/>
                </xdr:nvSpPr>
                <xdr:spPr>
                  <a:xfrm>
                    <a:off x="18019054" y="15786307"/>
                    <a:ext cx="432000" cy="2758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7E57002-4343-4440-8669-BA97229F26F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22">
                <xdr:nvSpPr>
                  <xdr:cNvPr id="294" name="Rectángulo 293">
                    <a:extLst>
                      <a:ext uri="{FF2B5EF4-FFF2-40B4-BE49-F238E27FC236}">
                        <a16:creationId xmlns:a16="http://schemas.microsoft.com/office/drawing/2014/main" id="{00000000-0008-0000-0900-000026010000}"/>
                      </a:ext>
                    </a:extLst>
                  </xdr:cNvPr>
                  <xdr:cNvSpPr/>
                </xdr:nvSpPr>
                <xdr:spPr>
                  <a:xfrm>
                    <a:off x="18305050" y="1578631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E1E542E-CC07-4351-B8FC-13B4FCA9684E}" type="TxLink">
                      <a:rPr lang="en-US" sz="1100" b="1" i="0" u="none" strike="noStrike">
                        <a:solidFill>
                          <a:srgbClr val="FFFF00"/>
                        </a:solidFill>
                        <a:latin typeface="Century Gothic"/>
                      </a:rPr>
                      <a:pPr algn="ctr"/>
                      <a:t>16</a:t>
                    </a:fld>
                    <a:endParaRPr lang="es-CO" sz="1100" b="1">
                      <a:solidFill>
                        <a:srgbClr val="FFFF00"/>
                      </a:solidFill>
                    </a:endParaRPr>
                  </a:p>
                </xdr:txBody>
              </xdr:sp>
            </xdr:grpSp>
          </xdr:grpSp>
          <xdr:grpSp>
            <xdr:nvGrpSpPr>
              <xdr:cNvPr id="254" name="Grupo 253">
                <a:extLst>
                  <a:ext uri="{FF2B5EF4-FFF2-40B4-BE49-F238E27FC236}">
                    <a16:creationId xmlns:a16="http://schemas.microsoft.com/office/drawing/2014/main" id="{00000000-0008-0000-0900-0000FE000000}"/>
                  </a:ext>
                </a:extLst>
              </xdr:cNvPr>
              <xdr:cNvGrpSpPr/>
            </xdr:nvGrpSpPr>
            <xdr:grpSpPr>
              <a:xfrm>
                <a:off x="18738927" y="14099363"/>
                <a:ext cx="2171832" cy="749484"/>
                <a:chOff x="18684957" y="15204109"/>
                <a:chExt cx="2165688" cy="743322"/>
              </a:xfrm>
            </xdr:grpSpPr>
            <xdr:grpSp>
              <xdr:nvGrpSpPr>
                <xdr:cNvPr id="282" name="Grupo 281">
                  <a:extLst>
                    <a:ext uri="{FF2B5EF4-FFF2-40B4-BE49-F238E27FC236}">
                      <a16:creationId xmlns:a16="http://schemas.microsoft.com/office/drawing/2014/main" id="{00000000-0008-0000-0900-00001A010000}"/>
                    </a:ext>
                  </a:extLst>
                </xdr:cNvPr>
                <xdr:cNvGrpSpPr/>
              </xdr:nvGrpSpPr>
              <xdr:grpSpPr>
                <a:xfrm>
                  <a:off x="18684957" y="15204109"/>
                  <a:ext cx="2165688" cy="739441"/>
                  <a:chOff x="28351843" y="12458683"/>
                  <a:chExt cx="2168635" cy="726638"/>
                </a:xfrm>
              </xdr:grpSpPr>
              <xdr:sp macro="" textlink="">
                <xdr:nvSpPr>
                  <xdr:cNvPr id="287" name="Cheurón 286">
                    <a:extLst>
                      <a:ext uri="{FF2B5EF4-FFF2-40B4-BE49-F238E27FC236}">
                        <a16:creationId xmlns:a16="http://schemas.microsoft.com/office/drawing/2014/main" id="{00000000-0008-0000-0900-00001F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88" name="CuadroTexto 287">
                    <a:extLst>
                      <a:ext uri="{FF2B5EF4-FFF2-40B4-BE49-F238E27FC236}">
                        <a16:creationId xmlns:a16="http://schemas.microsoft.com/office/drawing/2014/main" id="{00000000-0008-0000-0900-000020010000}"/>
                      </a:ext>
                    </a:extLst>
                  </xdr:cNvPr>
                  <xdr:cNvSpPr txBox="1"/>
                </xdr:nvSpPr>
                <xdr:spPr>
                  <a:xfrm>
                    <a:off x="2846199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W$23">
                <xdr:nvSpPr>
                  <xdr:cNvPr id="289" name="Rectángulo redondeado 288">
                    <a:extLst>
                      <a:ext uri="{FF2B5EF4-FFF2-40B4-BE49-F238E27FC236}">
                        <a16:creationId xmlns:a16="http://schemas.microsoft.com/office/drawing/2014/main" id="{00000000-0008-0000-0900-00002101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2CA62E3-C21B-4951-9209-F068CF8DF0EA}" type="TxLink">
                      <a:rPr lang="en-US" sz="1600" b="1" i="0" u="none" strike="noStrike">
                        <a:solidFill>
                          <a:srgbClr val="FFFF00"/>
                        </a:solidFill>
                        <a:latin typeface="Century Gothic"/>
                      </a:rPr>
                      <a:pPr algn="ctr"/>
                      <a:t>0,0%</a:t>
                    </a:fld>
                    <a:endParaRPr lang="es-CO" sz="5400">
                      <a:solidFill>
                        <a:srgbClr val="FFFF00"/>
                      </a:solidFill>
                    </a:endParaRPr>
                  </a:p>
                </xdr:txBody>
              </xdr:sp>
            </xdr:grpSp>
            <xdr:grpSp>
              <xdr:nvGrpSpPr>
                <xdr:cNvPr id="283" name="Grupo 282">
                  <a:extLst>
                    <a:ext uri="{FF2B5EF4-FFF2-40B4-BE49-F238E27FC236}">
                      <a16:creationId xmlns:a16="http://schemas.microsoft.com/office/drawing/2014/main" id="{00000000-0008-0000-0900-00001B010000}"/>
                    </a:ext>
                  </a:extLst>
                </xdr:cNvPr>
                <xdr:cNvGrpSpPr/>
              </xdr:nvGrpSpPr>
              <xdr:grpSpPr>
                <a:xfrm>
                  <a:off x="19902520" y="15671577"/>
                  <a:ext cx="825525" cy="275854"/>
                  <a:chOff x="19911179" y="15782847"/>
                  <a:chExt cx="825525" cy="275854"/>
                </a:xfrm>
              </xdr:grpSpPr>
              <xdr:sp macro="" textlink="">
                <xdr:nvSpPr>
                  <xdr:cNvPr id="284" name="CuadroTexto 283">
                    <a:extLst>
                      <a:ext uri="{FF2B5EF4-FFF2-40B4-BE49-F238E27FC236}">
                        <a16:creationId xmlns:a16="http://schemas.microsoft.com/office/drawing/2014/main" id="{00000000-0008-0000-0900-00001C010000}"/>
                      </a:ext>
                    </a:extLst>
                  </xdr:cNvPr>
                  <xdr:cNvSpPr txBox="1"/>
                </xdr:nvSpPr>
                <xdr:spPr>
                  <a:xfrm>
                    <a:off x="19911179" y="15784783"/>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3">
                <xdr:nvSpPr>
                  <xdr:cNvPr id="285" name="Rectángulo 284">
                    <a:extLst>
                      <a:ext uri="{FF2B5EF4-FFF2-40B4-BE49-F238E27FC236}">
                        <a16:creationId xmlns:a16="http://schemas.microsoft.com/office/drawing/2014/main" id="{00000000-0008-0000-0900-00001D010000}"/>
                      </a:ext>
                    </a:extLst>
                  </xdr:cNvPr>
                  <xdr:cNvSpPr/>
                </xdr:nvSpPr>
                <xdr:spPr>
                  <a:xfrm>
                    <a:off x="19963884" y="1578284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2D68F2D-D0BD-434F-94C6-4523BBE672FE}"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23">
                <xdr:nvSpPr>
                  <xdr:cNvPr id="286" name="Rectángulo 285">
                    <a:extLst>
                      <a:ext uri="{FF2B5EF4-FFF2-40B4-BE49-F238E27FC236}">
                        <a16:creationId xmlns:a16="http://schemas.microsoft.com/office/drawing/2014/main" id="{00000000-0008-0000-0900-00001E010000}"/>
                      </a:ext>
                    </a:extLst>
                  </xdr:cNvPr>
                  <xdr:cNvSpPr/>
                </xdr:nvSpPr>
                <xdr:spPr>
                  <a:xfrm>
                    <a:off x="20249880" y="1578284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9C59F2B9-FD8F-4A7F-B522-25B46C5AA52F}" type="TxLink">
                      <a:rPr lang="en-US" sz="1100" b="1" i="0" u="none" strike="noStrike">
                        <a:solidFill>
                          <a:srgbClr val="FFFF00"/>
                        </a:solidFill>
                        <a:latin typeface="Century Gothic"/>
                      </a:rPr>
                      <a:pPr algn="ctr"/>
                      <a:t>46</a:t>
                    </a:fld>
                    <a:endParaRPr lang="es-CO" sz="1100" b="1">
                      <a:solidFill>
                        <a:srgbClr val="FFFF00"/>
                      </a:solidFill>
                    </a:endParaRPr>
                  </a:p>
                </xdr:txBody>
              </xdr:sp>
            </xdr:grpSp>
          </xdr:grpSp>
          <xdr:grpSp>
            <xdr:nvGrpSpPr>
              <xdr:cNvPr id="255" name="Grupo 254">
                <a:extLst>
                  <a:ext uri="{FF2B5EF4-FFF2-40B4-BE49-F238E27FC236}">
                    <a16:creationId xmlns:a16="http://schemas.microsoft.com/office/drawing/2014/main" id="{00000000-0008-0000-0900-0000FF000000}"/>
                  </a:ext>
                </a:extLst>
              </xdr:cNvPr>
              <xdr:cNvGrpSpPr/>
            </xdr:nvGrpSpPr>
            <xdr:grpSpPr>
              <a:xfrm>
                <a:off x="20703969" y="14099363"/>
                <a:ext cx="2163185" cy="749484"/>
                <a:chOff x="20644440" y="15204109"/>
                <a:chExt cx="2157065" cy="743322"/>
              </a:xfrm>
            </xdr:grpSpPr>
            <xdr:grpSp>
              <xdr:nvGrpSpPr>
                <xdr:cNvPr id="274" name="Grupo 273">
                  <a:extLst>
                    <a:ext uri="{FF2B5EF4-FFF2-40B4-BE49-F238E27FC236}">
                      <a16:creationId xmlns:a16="http://schemas.microsoft.com/office/drawing/2014/main" id="{00000000-0008-0000-0900-000012010000}"/>
                    </a:ext>
                  </a:extLst>
                </xdr:cNvPr>
                <xdr:cNvGrpSpPr/>
              </xdr:nvGrpSpPr>
              <xdr:grpSpPr>
                <a:xfrm>
                  <a:off x="20644440" y="15204109"/>
                  <a:ext cx="2157065" cy="739441"/>
                  <a:chOff x="28351843" y="12458683"/>
                  <a:chExt cx="2160000" cy="726638"/>
                </a:xfrm>
              </xdr:grpSpPr>
              <xdr:sp macro="" textlink="">
                <xdr:nvSpPr>
                  <xdr:cNvPr id="279" name="Cheurón 278">
                    <a:extLst>
                      <a:ext uri="{FF2B5EF4-FFF2-40B4-BE49-F238E27FC236}">
                        <a16:creationId xmlns:a16="http://schemas.microsoft.com/office/drawing/2014/main" id="{00000000-0008-0000-0900-000017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80" name="CuadroTexto 279">
                    <a:extLst>
                      <a:ext uri="{FF2B5EF4-FFF2-40B4-BE49-F238E27FC236}">
                        <a16:creationId xmlns:a16="http://schemas.microsoft.com/office/drawing/2014/main" id="{00000000-0008-0000-0900-000018010000}"/>
                      </a:ext>
                    </a:extLst>
                  </xdr:cNvPr>
                  <xdr:cNvSpPr txBox="1"/>
                </xdr:nvSpPr>
                <xdr:spPr>
                  <a:xfrm>
                    <a:off x="2847066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W$24">
                <xdr:nvSpPr>
                  <xdr:cNvPr id="281" name="Rectángulo redondeado 280">
                    <a:extLst>
                      <a:ext uri="{FF2B5EF4-FFF2-40B4-BE49-F238E27FC236}">
                        <a16:creationId xmlns:a16="http://schemas.microsoft.com/office/drawing/2014/main" id="{00000000-0008-0000-0900-000019010000}"/>
                      </a:ext>
                    </a:extLst>
                  </xdr:cNvPr>
                  <xdr:cNvSpPr/>
                </xdr:nvSpPr>
                <xdr:spPr>
                  <a:xfrm>
                    <a:off x="29570871"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74791C-B912-4113-B967-DEBC3CE6937B}" type="TxLink">
                      <a:rPr lang="en-US" sz="1600" b="1" i="0" u="none" strike="noStrike">
                        <a:solidFill>
                          <a:srgbClr val="FFFF00"/>
                        </a:solidFill>
                        <a:latin typeface="Century Gothic"/>
                      </a:rPr>
                      <a:pPr algn="ctr"/>
                      <a:t>0,0%</a:t>
                    </a:fld>
                    <a:endParaRPr lang="es-CO" sz="6600">
                      <a:solidFill>
                        <a:srgbClr val="FFFF00"/>
                      </a:solidFill>
                    </a:endParaRPr>
                  </a:p>
                </xdr:txBody>
              </xdr:sp>
            </xdr:grpSp>
            <xdr:grpSp>
              <xdr:nvGrpSpPr>
                <xdr:cNvPr id="275" name="Grupo 274">
                  <a:extLst>
                    <a:ext uri="{FF2B5EF4-FFF2-40B4-BE49-F238E27FC236}">
                      <a16:creationId xmlns:a16="http://schemas.microsoft.com/office/drawing/2014/main" id="{00000000-0008-0000-0900-000013010000}"/>
                    </a:ext>
                  </a:extLst>
                </xdr:cNvPr>
                <xdr:cNvGrpSpPr/>
              </xdr:nvGrpSpPr>
              <xdr:grpSpPr>
                <a:xfrm>
                  <a:off x="21838689" y="15671577"/>
                  <a:ext cx="825525" cy="275854"/>
                  <a:chOff x="21838689" y="15788044"/>
                  <a:chExt cx="825525" cy="275854"/>
                </a:xfrm>
              </xdr:grpSpPr>
              <xdr:sp macro="" textlink="">
                <xdr:nvSpPr>
                  <xdr:cNvPr id="276" name="CuadroTexto 275">
                    <a:extLst>
                      <a:ext uri="{FF2B5EF4-FFF2-40B4-BE49-F238E27FC236}">
                        <a16:creationId xmlns:a16="http://schemas.microsoft.com/office/drawing/2014/main" id="{00000000-0008-0000-0900-000014010000}"/>
                      </a:ext>
                    </a:extLst>
                  </xdr:cNvPr>
                  <xdr:cNvSpPr txBox="1"/>
                </xdr:nvSpPr>
                <xdr:spPr>
                  <a:xfrm>
                    <a:off x="21838689" y="15789980"/>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4">
                <xdr:nvSpPr>
                  <xdr:cNvPr id="277" name="Rectángulo 276">
                    <a:extLst>
                      <a:ext uri="{FF2B5EF4-FFF2-40B4-BE49-F238E27FC236}">
                        <a16:creationId xmlns:a16="http://schemas.microsoft.com/office/drawing/2014/main" id="{00000000-0008-0000-0900-00001501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2491AC04-87B5-4991-8DC1-BD19353F0014}"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24">
                <xdr:nvSpPr>
                  <xdr:cNvPr id="278" name="Rectángulo 277">
                    <a:extLst>
                      <a:ext uri="{FF2B5EF4-FFF2-40B4-BE49-F238E27FC236}">
                        <a16:creationId xmlns:a16="http://schemas.microsoft.com/office/drawing/2014/main" id="{00000000-0008-0000-0900-00001601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8AFF456C-7794-4C48-A119-F5EAB382F4B5}" type="TxLink">
                      <a:rPr lang="en-US" sz="1100" b="1" i="0" u="none" strike="noStrike">
                        <a:solidFill>
                          <a:srgbClr val="FFFF00"/>
                        </a:solidFill>
                        <a:latin typeface="Century Gothic"/>
                      </a:rPr>
                      <a:pPr algn="ctr"/>
                      <a:t>8</a:t>
                    </a:fld>
                    <a:endParaRPr lang="es-CO" sz="1100" b="1">
                      <a:solidFill>
                        <a:srgbClr val="FFFF00"/>
                      </a:solidFill>
                    </a:endParaRPr>
                  </a:p>
                </xdr:txBody>
              </xdr:sp>
            </xdr:grpSp>
          </xdr:grpSp>
          <xdr:grpSp>
            <xdr:nvGrpSpPr>
              <xdr:cNvPr id="256" name="Grupo 255">
                <a:extLst>
                  <a:ext uri="{FF2B5EF4-FFF2-40B4-BE49-F238E27FC236}">
                    <a16:creationId xmlns:a16="http://schemas.microsoft.com/office/drawing/2014/main" id="{00000000-0008-0000-0900-000000010000}"/>
                  </a:ext>
                </a:extLst>
              </xdr:cNvPr>
              <xdr:cNvGrpSpPr/>
            </xdr:nvGrpSpPr>
            <xdr:grpSpPr>
              <a:xfrm>
                <a:off x="18752551" y="14897972"/>
                <a:ext cx="2163185" cy="762473"/>
                <a:chOff x="18715620" y="14890129"/>
                <a:chExt cx="2158192" cy="770257"/>
              </a:xfrm>
            </xdr:grpSpPr>
            <xdr:grpSp>
              <xdr:nvGrpSpPr>
                <xdr:cNvPr id="266" name="Grupo 265">
                  <a:extLst>
                    <a:ext uri="{FF2B5EF4-FFF2-40B4-BE49-F238E27FC236}">
                      <a16:creationId xmlns:a16="http://schemas.microsoft.com/office/drawing/2014/main" id="{00000000-0008-0000-0900-00000A010000}"/>
                    </a:ext>
                  </a:extLst>
                </xdr:cNvPr>
                <xdr:cNvGrpSpPr/>
              </xdr:nvGrpSpPr>
              <xdr:grpSpPr>
                <a:xfrm>
                  <a:off x="18715620" y="14890129"/>
                  <a:ext cx="2158192" cy="753182"/>
                  <a:chOff x="28351843" y="12458683"/>
                  <a:chExt cx="2160000" cy="726638"/>
                </a:xfrm>
              </xdr:grpSpPr>
              <xdr:sp macro="" textlink="">
                <xdr:nvSpPr>
                  <xdr:cNvPr id="271" name="Cheurón 270">
                    <a:extLst>
                      <a:ext uri="{FF2B5EF4-FFF2-40B4-BE49-F238E27FC236}">
                        <a16:creationId xmlns:a16="http://schemas.microsoft.com/office/drawing/2014/main" id="{00000000-0008-0000-0900-00000F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72" name="CuadroTexto 271">
                    <a:extLst>
                      <a:ext uri="{FF2B5EF4-FFF2-40B4-BE49-F238E27FC236}">
                        <a16:creationId xmlns:a16="http://schemas.microsoft.com/office/drawing/2014/main" id="{00000000-0008-0000-0900-000010010000}"/>
                      </a:ext>
                    </a:extLst>
                  </xdr:cNvPr>
                  <xdr:cNvSpPr txBox="1"/>
                </xdr:nvSpPr>
                <xdr:spPr>
                  <a:xfrm>
                    <a:off x="28393960"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W$27">
                <xdr:nvSpPr>
                  <xdr:cNvPr id="273" name="Rectángulo redondeado 272">
                    <a:extLst>
                      <a:ext uri="{FF2B5EF4-FFF2-40B4-BE49-F238E27FC236}">
                        <a16:creationId xmlns:a16="http://schemas.microsoft.com/office/drawing/2014/main" id="{00000000-0008-0000-0900-000011010000}"/>
                      </a:ext>
                    </a:extLst>
                  </xdr:cNvPr>
                  <xdr:cNvSpPr/>
                </xdr:nvSpPr>
                <xdr:spPr>
                  <a:xfrm>
                    <a:off x="29557264"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0EFBB3-161E-405B-AF5B-445BC19AB5FD}" type="TxLink">
                      <a:rPr lang="en-US" sz="1600" b="1" i="0" u="none" strike="noStrike">
                        <a:solidFill>
                          <a:srgbClr val="FFFF00"/>
                        </a:solidFill>
                        <a:latin typeface="Century Gothic"/>
                      </a:rPr>
                      <a:pPr algn="ctr"/>
                      <a:t>-</a:t>
                    </a:fld>
                    <a:endParaRPr lang="es-CO" sz="5400">
                      <a:solidFill>
                        <a:srgbClr val="FFFF00"/>
                      </a:solidFill>
                    </a:endParaRPr>
                  </a:p>
                </xdr:txBody>
              </xdr:sp>
            </xdr:grpSp>
            <xdr:grpSp>
              <xdr:nvGrpSpPr>
                <xdr:cNvPr id="267" name="Grupo 266">
                  <a:extLst>
                    <a:ext uri="{FF2B5EF4-FFF2-40B4-BE49-F238E27FC236}">
                      <a16:creationId xmlns:a16="http://schemas.microsoft.com/office/drawing/2014/main" id="{00000000-0008-0000-0900-00000B010000}"/>
                    </a:ext>
                  </a:extLst>
                </xdr:cNvPr>
                <xdr:cNvGrpSpPr/>
              </xdr:nvGrpSpPr>
              <xdr:grpSpPr>
                <a:xfrm>
                  <a:off x="19931955" y="15376835"/>
                  <a:ext cx="826488" cy="283551"/>
                  <a:chOff x="19914637" y="16582951"/>
                  <a:chExt cx="825525" cy="275854"/>
                </a:xfrm>
              </xdr:grpSpPr>
              <xdr:sp macro="" textlink="">
                <xdr:nvSpPr>
                  <xdr:cNvPr id="268" name="CuadroTexto 267">
                    <a:extLst>
                      <a:ext uri="{FF2B5EF4-FFF2-40B4-BE49-F238E27FC236}">
                        <a16:creationId xmlns:a16="http://schemas.microsoft.com/office/drawing/2014/main" id="{00000000-0008-0000-0900-00000C010000}"/>
                      </a:ext>
                    </a:extLst>
                  </xdr:cNvPr>
                  <xdr:cNvSpPr txBox="1"/>
                </xdr:nvSpPr>
                <xdr:spPr>
                  <a:xfrm>
                    <a:off x="19914637" y="1658488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7">
                <xdr:nvSpPr>
                  <xdr:cNvPr id="269" name="Rectángulo 268">
                    <a:extLst>
                      <a:ext uri="{FF2B5EF4-FFF2-40B4-BE49-F238E27FC236}">
                        <a16:creationId xmlns:a16="http://schemas.microsoft.com/office/drawing/2014/main" id="{00000000-0008-0000-0900-00000D010000}"/>
                      </a:ext>
                    </a:extLst>
                  </xdr:cNvPr>
                  <xdr:cNvSpPr/>
                </xdr:nvSpPr>
                <xdr:spPr>
                  <a:xfrm>
                    <a:off x="19967342" y="1658295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250CA86-4A51-454F-BAEE-0667B8EE53F7}"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L$27">
                <xdr:nvSpPr>
                  <xdr:cNvPr id="270" name="Rectángulo 269">
                    <a:extLst>
                      <a:ext uri="{FF2B5EF4-FFF2-40B4-BE49-F238E27FC236}">
                        <a16:creationId xmlns:a16="http://schemas.microsoft.com/office/drawing/2014/main" id="{00000000-0008-0000-0900-00000E010000}"/>
                      </a:ext>
                    </a:extLst>
                  </xdr:cNvPr>
                  <xdr:cNvSpPr/>
                </xdr:nvSpPr>
                <xdr:spPr>
                  <a:xfrm>
                    <a:off x="20253338" y="1658295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D2B9AB0-6F39-417E-812F-50EA29C95D35}" type="TxLink">
                      <a:rPr lang="en-US" sz="1100" b="1" i="0" u="none" strike="noStrike">
                        <a:solidFill>
                          <a:srgbClr val="FFFF00"/>
                        </a:solidFill>
                        <a:latin typeface="Century Gothic"/>
                      </a:rPr>
                      <a:pPr algn="ctr"/>
                      <a:t>-</a:t>
                    </a:fld>
                    <a:endParaRPr lang="es-CO" sz="1100" b="1">
                      <a:solidFill>
                        <a:srgbClr val="FFFF00"/>
                      </a:solidFill>
                    </a:endParaRPr>
                  </a:p>
                </xdr:txBody>
              </xdr:sp>
            </xdr:grpSp>
          </xdr:grpSp>
          <xdr:grpSp>
            <xdr:nvGrpSpPr>
              <xdr:cNvPr id="257" name="Grupo 256">
                <a:extLst>
                  <a:ext uri="{FF2B5EF4-FFF2-40B4-BE49-F238E27FC236}">
                    <a16:creationId xmlns:a16="http://schemas.microsoft.com/office/drawing/2014/main" id="{00000000-0008-0000-0900-000001010000}"/>
                  </a:ext>
                </a:extLst>
              </xdr:cNvPr>
              <xdr:cNvGrpSpPr/>
            </xdr:nvGrpSpPr>
            <xdr:grpSpPr>
              <a:xfrm>
                <a:off x="14836099" y="14892384"/>
                <a:ext cx="2163185" cy="768061"/>
                <a:chOff x="14808207" y="14884484"/>
                <a:chExt cx="2158192" cy="775902"/>
              </a:xfrm>
            </xdr:grpSpPr>
            <xdr:grpSp>
              <xdr:nvGrpSpPr>
                <xdr:cNvPr id="258" name="Grupo 257">
                  <a:extLst>
                    <a:ext uri="{FF2B5EF4-FFF2-40B4-BE49-F238E27FC236}">
                      <a16:creationId xmlns:a16="http://schemas.microsoft.com/office/drawing/2014/main" id="{00000000-0008-0000-0900-000002010000}"/>
                    </a:ext>
                  </a:extLst>
                </xdr:cNvPr>
                <xdr:cNvGrpSpPr/>
              </xdr:nvGrpSpPr>
              <xdr:grpSpPr>
                <a:xfrm>
                  <a:off x="14808207" y="14884484"/>
                  <a:ext cx="2158192" cy="753182"/>
                  <a:chOff x="28351843" y="12458683"/>
                  <a:chExt cx="2160000" cy="726638"/>
                </a:xfrm>
              </xdr:grpSpPr>
              <xdr:sp macro="" textlink="">
                <xdr:nvSpPr>
                  <xdr:cNvPr id="263" name="Cheurón 262">
                    <a:extLst>
                      <a:ext uri="{FF2B5EF4-FFF2-40B4-BE49-F238E27FC236}">
                        <a16:creationId xmlns:a16="http://schemas.microsoft.com/office/drawing/2014/main" id="{00000000-0008-0000-0900-000007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64" name="CuadroTexto 263">
                    <a:extLst>
                      <a:ext uri="{FF2B5EF4-FFF2-40B4-BE49-F238E27FC236}">
                        <a16:creationId xmlns:a16="http://schemas.microsoft.com/office/drawing/2014/main" id="{00000000-0008-0000-0900-000008010000}"/>
                      </a:ext>
                    </a:extLst>
                  </xdr:cNvPr>
                  <xdr:cNvSpPr txBox="1"/>
                </xdr:nvSpPr>
                <xdr:spPr>
                  <a:xfrm>
                    <a:off x="2840009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W$25">
                <xdr:nvSpPr>
                  <xdr:cNvPr id="265" name="Rectángulo redondeado 264">
                    <a:extLst>
                      <a:ext uri="{FF2B5EF4-FFF2-40B4-BE49-F238E27FC236}">
                        <a16:creationId xmlns:a16="http://schemas.microsoft.com/office/drawing/2014/main" id="{00000000-0008-0000-0900-000009010000}"/>
                      </a:ext>
                    </a:extLst>
                  </xdr:cNvPr>
                  <xdr:cNvSpPr/>
                </xdr:nvSpPr>
                <xdr:spPr>
                  <a:xfrm>
                    <a:off x="29553530"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96B9E0-9A5A-4AF3-B35F-78EFD2B66E59}"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259" name="Grupo 258">
                  <a:extLst>
                    <a:ext uri="{FF2B5EF4-FFF2-40B4-BE49-F238E27FC236}">
                      <a16:creationId xmlns:a16="http://schemas.microsoft.com/office/drawing/2014/main" id="{00000000-0008-0000-0900-000003010000}"/>
                    </a:ext>
                  </a:extLst>
                </xdr:cNvPr>
                <xdr:cNvGrpSpPr/>
              </xdr:nvGrpSpPr>
              <xdr:grpSpPr>
                <a:xfrm>
                  <a:off x="16014393" y="15376835"/>
                  <a:ext cx="825525" cy="283551"/>
                  <a:chOff x="16042294" y="16581216"/>
                  <a:chExt cx="825525" cy="275854"/>
                </a:xfrm>
              </xdr:grpSpPr>
              <xdr:sp macro="" textlink="">
                <xdr:nvSpPr>
                  <xdr:cNvPr id="260" name="CuadroTexto 259">
                    <a:extLst>
                      <a:ext uri="{FF2B5EF4-FFF2-40B4-BE49-F238E27FC236}">
                        <a16:creationId xmlns:a16="http://schemas.microsoft.com/office/drawing/2014/main" id="{00000000-0008-0000-0900-000004010000}"/>
                      </a:ext>
                    </a:extLst>
                  </xdr:cNvPr>
                  <xdr:cNvSpPr txBox="1"/>
                </xdr:nvSpPr>
                <xdr:spPr>
                  <a:xfrm>
                    <a:off x="16042294" y="1658315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R$25">
                <xdr:nvSpPr>
                  <xdr:cNvPr id="261" name="Rectángulo 260">
                    <a:extLst>
                      <a:ext uri="{FF2B5EF4-FFF2-40B4-BE49-F238E27FC236}">
                        <a16:creationId xmlns:a16="http://schemas.microsoft.com/office/drawing/2014/main" id="{00000000-0008-0000-0900-000005010000}"/>
                      </a:ext>
                    </a:extLst>
                  </xdr:cNvPr>
                  <xdr:cNvSpPr/>
                </xdr:nvSpPr>
                <xdr:spPr>
                  <a:xfrm>
                    <a:off x="16094999" y="1658121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7DE3F5E-64EF-4B3D-BEA1-B3D5DD9F9EFB}"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L$25">
                <xdr:nvSpPr>
                  <xdr:cNvPr id="262" name="Rectángulo 261">
                    <a:extLst>
                      <a:ext uri="{FF2B5EF4-FFF2-40B4-BE49-F238E27FC236}">
                        <a16:creationId xmlns:a16="http://schemas.microsoft.com/office/drawing/2014/main" id="{00000000-0008-0000-0900-000006010000}"/>
                      </a:ext>
                    </a:extLst>
                  </xdr:cNvPr>
                  <xdr:cNvSpPr/>
                </xdr:nvSpPr>
                <xdr:spPr>
                  <a:xfrm>
                    <a:off x="16380995" y="1658121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C7D9F87-8CCD-4AB5-87D1-04131D2737F5}" type="TxLink">
                      <a:rPr lang="en-US" sz="1100" b="1" i="0" u="none" strike="noStrike">
                        <a:solidFill>
                          <a:srgbClr val="FFFF00"/>
                        </a:solidFill>
                        <a:latin typeface="Century Gothic"/>
                      </a:rPr>
                      <a:pPr algn="ctr"/>
                      <a:t>9</a:t>
                    </a:fld>
                    <a:endParaRPr lang="es-CO" sz="1100" b="1">
                      <a:solidFill>
                        <a:srgbClr val="FFFF00"/>
                      </a:solidFill>
                    </a:endParaRPr>
                  </a:p>
                </xdr:txBody>
              </xdr:sp>
            </xdr:grpSp>
          </xdr:grpSp>
        </xdr:grpSp>
      </xdr:grpSp>
    </xdr:grpSp>
    <xdr:clientData/>
  </xdr:twoCellAnchor>
  <xdr:twoCellAnchor editAs="absolute">
    <xdr:from>
      <xdr:col>12</xdr:col>
      <xdr:colOff>42647</xdr:colOff>
      <xdr:row>34</xdr:row>
      <xdr:rowOff>69261</xdr:rowOff>
    </xdr:from>
    <xdr:to>
      <xdr:col>21</xdr:col>
      <xdr:colOff>373697</xdr:colOff>
      <xdr:row>71</xdr:row>
      <xdr:rowOff>189270</xdr:rowOff>
    </xdr:to>
    <xdr:grpSp>
      <xdr:nvGrpSpPr>
        <xdr:cNvPr id="478" name="Grupo 477">
          <a:extLst>
            <a:ext uri="{FF2B5EF4-FFF2-40B4-BE49-F238E27FC236}">
              <a16:creationId xmlns:a16="http://schemas.microsoft.com/office/drawing/2014/main" id="{00000000-0008-0000-0900-0000DE010000}"/>
            </a:ext>
          </a:extLst>
        </xdr:cNvPr>
        <xdr:cNvGrpSpPr/>
      </xdr:nvGrpSpPr>
      <xdr:grpSpPr>
        <a:xfrm>
          <a:off x="11499861" y="9594261"/>
          <a:ext cx="10985443" cy="7671973"/>
          <a:chOff x="11499861" y="9594261"/>
          <a:chExt cx="10985443" cy="7671973"/>
        </a:xfrm>
      </xdr:grpSpPr>
      <xdr:grpSp>
        <xdr:nvGrpSpPr>
          <xdr:cNvPr id="479" name="Grupo 478">
            <a:extLst>
              <a:ext uri="{FF2B5EF4-FFF2-40B4-BE49-F238E27FC236}">
                <a16:creationId xmlns:a16="http://schemas.microsoft.com/office/drawing/2014/main" id="{00000000-0008-0000-0900-0000DF010000}"/>
              </a:ext>
            </a:extLst>
          </xdr:cNvPr>
          <xdr:cNvGrpSpPr/>
        </xdr:nvGrpSpPr>
        <xdr:grpSpPr>
          <a:xfrm>
            <a:off x="11511521" y="9594261"/>
            <a:ext cx="10928940" cy="828060"/>
            <a:chOff x="23474890" y="9420678"/>
            <a:chExt cx="10923595" cy="858507"/>
          </a:xfrm>
        </xdr:grpSpPr>
        <xdr:sp macro="" textlink="">
          <xdr:nvSpPr>
            <xdr:cNvPr id="709" name="Rectángulo 708">
              <a:extLst>
                <a:ext uri="{FF2B5EF4-FFF2-40B4-BE49-F238E27FC236}">
                  <a16:creationId xmlns:a16="http://schemas.microsoft.com/office/drawing/2014/main" id="{00000000-0008-0000-0900-0000C5020000}"/>
                </a:ext>
              </a:extLst>
            </xdr:cNvPr>
            <xdr:cNvSpPr/>
          </xdr:nvSpPr>
          <xdr:spPr>
            <a:xfrm>
              <a:off x="23474890" y="9420678"/>
              <a:ext cx="9967123" cy="858507"/>
            </a:xfrm>
            <a:prstGeom prst="rect">
              <a:avLst/>
            </a:prstGeom>
            <a:no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tx1"/>
                  </a:solidFill>
                  <a:latin typeface="Century Gothic" panose="020B0502020202020204" pitchFamily="34" charset="0"/>
                </a:rPr>
                <a:t>PROPORCION DE ACCIONES DE MEJORA CUMPLIDAS DE LAS AUDITORÍAS CON ENFOQUE EN RIESGOS, ESE METROSALUD, 2019 - 2023</a:t>
              </a:r>
            </a:p>
          </xdr:txBody>
        </xdr:sp>
        <xdr:grpSp>
          <xdr:nvGrpSpPr>
            <xdr:cNvPr id="710" name="Grupo 709">
              <a:extLst>
                <a:ext uri="{FF2B5EF4-FFF2-40B4-BE49-F238E27FC236}">
                  <a16:creationId xmlns:a16="http://schemas.microsoft.com/office/drawing/2014/main" id="{00000000-0008-0000-0900-0000C6020000}"/>
                </a:ext>
              </a:extLst>
            </xdr:cNvPr>
            <xdr:cNvGrpSpPr/>
          </xdr:nvGrpSpPr>
          <xdr:grpSpPr>
            <a:xfrm>
              <a:off x="33484095" y="9420678"/>
              <a:ext cx="914390" cy="858507"/>
              <a:chOff x="21875553" y="10589079"/>
              <a:chExt cx="913163" cy="842845"/>
            </a:xfrm>
          </xdr:grpSpPr>
          <xdr:sp macro="" textlink="$T$32">
            <xdr:nvSpPr>
              <xdr:cNvPr id="711" name="Rectángulo 710">
                <a:extLst>
                  <a:ext uri="{FF2B5EF4-FFF2-40B4-BE49-F238E27FC236}">
                    <a16:creationId xmlns:a16="http://schemas.microsoft.com/office/drawing/2014/main" id="{00000000-0008-0000-0900-0000C7020000}"/>
                  </a:ext>
                </a:extLst>
              </xdr:cNvPr>
              <xdr:cNvSpPr/>
            </xdr:nvSpPr>
            <xdr:spPr>
              <a:xfrm>
                <a:off x="21875553"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85D49E2-9417-4908-B95E-0920E68470EF}" type="TxLink">
                  <a:rPr lang="en-US" sz="1800" b="1" i="0" u="none" strike="noStrike">
                    <a:solidFill>
                      <a:srgbClr val="000000"/>
                    </a:solidFill>
                    <a:latin typeface="Century Gothic"/>
                  </a:rPr>
                  <a:pPr algn="ctr"/>
                  <a:t>29,5%</a:t>
                </a:fld>
                <a:endParaRPr lang="es-CO" sz="11500">
                  <a:solidFill>
                    <a:schemeClr val="tx1">
                      <a:lumMod val="95000"/>
                      <a:lumOff val="5000"/>
                    </a:schemeClr>
                  </a:solidFill>
                </a:endParaRPr>
              </a:p>
            </xdr:txBody>
          </xdr:sp>
          <xdr:grpSp>
            <xdr:nvGrpSpPr>
              <xdr:cNvPr id="712" name="Grupo 711">
                <a:extLst>
                  <a:ext uri="{FF2B5EF4-FFF2-40B4-BE49-F238E27FC236}">
                    <a16:creationId xmlns:a16="http://schemas.microsoft.com/office/drawing/2014/main" id="{00000000-0008-0000-0900-0000C8020000}"/>
                  </a:ext>
                </a:extLst>
              </xdr:cNvPr>
              <xdr:cNvGrpSpPr/>
            </xdr:nvGrpSpPr>
            <xdr:grpSpPr>
              <a:xfrm>
                <a:off x="21876503" y="11129223"/>
                <a:ext cx="898782" cy="285384"/>
                <a:chOff x="21876503" y="11129223"/>
                <a:chExt cx="898782" cy="285384"/>
              </a:xfrm>
            </xdr:grpSpPr>
            <xdr:sp macro="" textlink="$N$32">
              <xdr:nvSpPr>
                <xdr:cNvPr id="713" name="Rectángulo 712">
                  <a:extLst>
                    <a:ext uri="{FF2B5EF4-FFF2-40B4-BE49-F238E27FC236}">
                      <a16:creationId xmlns:a16="http://schemas.microsoft.com/office/drawing/2014/main" id="{00000000-0008-0000-0900-0000C902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54568F-49CB-4CC2-84E5-D5DBEDF33A80}" type="TxLink">
                    <a:rPr lang="en-US" sz="1100" b="1" i="0" u="none" strike="noStrike">
                      <a:solidFill>
                        <a:srgbClr val="000000"/>
                      </a:solidFill>
                      <a:latin typeface="Century Gothic"/>
                    </a:rPr>
                    <a:pPr algn="ctr"/>
                    <a:t>72</a:t>
                  </a:fld>
                  <a:endParaRPr lang="es-CO" sz="1100">
                    <a:solidFill>
                      <a:schemeClr val="tx1">
                        <a:lumMod val="95000"/>
                        <a:lumOff val="5000"/>
                      </a:schemeClr>
                    </a:solidFill>
                  </a:endParaRPr>
                </a:p>
              </xdr:txBody>
            </xdr:sp>
            <xdr:sp macro="" textlink="">
              <xdr:nvSpPr>
                <xdr:cNvPr id="714" name="CuadroTexto 713">
                  <a:extLst>
                    <a:ext uri="{FF2B5EF4-FFF2-40B4-BE49-F238E27FC236}">
                      <a16:creationId xmlns:a16="http://schemas.microsoft.com/office/drawing/2014/main" id="{00000000-0008-0000-0900-0000CA020000}"/>
                    </a:ext>
                  </a:extLst>
                </xdr:cNvPr>
                <xdr:cNvSpPr txBox="1"/>
              </xdr:nvSpPr>
              <xdr:spPr>
                <a:xfrm>
                  <a:off x="21876503" y="11129223"/>
                  <a:ext cx="898782"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latin typeface="Century Gothic" panose="020B0502020202020204" pitchFamily="34" charset="0"/>
                    </a:rPr>
                    <a:t>(       /  </a:t>
                  </a:r>
                  <a:r>
                    <a:rPr lang="es-CO" sz="1100" i="0" baseline="0">
                      <a:latin typeface="Century Gothic" panose="020B0502020202020204" pitchFamily="34" charset="0"/>
                    </a:rPr>
                    <a:t>      </a:t>
                  </a:r>
                  <a:r>
                    <a:rPr lang="es-CO" sz="1100" i="0">
                      <a:latin typeface="Century Gothic" panose="020B0502020202020204" pitchFamily="34" charset="0"/>
                    </a:rPr>
                    <a:t>)</a:t>
                  </a:r>
                </a:p>
              </xdr:txBody>
            </xdr:sp>
            <xdr:sp macro="" textlink="$M$32">
              <xdr:nvSpPr>
                <xdr:cNvPr id="715" name="Rectángulo 714">
                  <a:extLst>
                    <a:ext uri="{FF2B5EF4-FFF2-40B4-BE49-F238E27FC236}">
                      <a16:creationId xmlns:a16="http://schemas.microsoft.com/office/drawing/2014/main" id="{00000000-0008-0000-0900-0000CB02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0323C6-3193-4F68-A332-90E704933A6C}" type="TxLink">
                    <a:rPr lang="en-US" sz="1100" b="1" i="0" u="none" strike="noStrike">
                      <a:solidFill>
                        <a:srgbClr val="000000"/>
                      </a:solidFill>
                      <a:latin typeface="Century Gothic"/>
                    </a:rPr>
                    <a:pPr algn="ctr"/>
                    <a:t>350</a:t>
                  </a:fld>
                  <a:endParaRPr lang="es-CO" sz="1100">
                    <a:solidFill>
                      <a:schemeClr val="tx1">
                        <a:lumMod val="95000"/>
                        <a:lumOff val="5000"/>
                      </a:schemeClr>
                    </a:solidFill>
                  </a:endParaRPr>
                </a:p>
              </xdr:txBody>
            </xdr:sp>
          </xdr:grpSp>
        </xdr:grpSp>
      </xdr:grpSp>
      <xdr:grpSp>
        <xdr:nvGrpSpPr>
          <xdr:cNvPr id="480" name="Grupo 479">
            <a:extLst>
              <a:ext uri="{FF2B5EF4-FFF2-40B4-BE49-F238E27FC236}">
                <a16:creationId xmlns:a16="http://schemas.microsoft.com/office/drawing/2014/main" id="{00000000-0008-0000-0900-0000E0010000}"/>
              </a:ext>
            </a:extLst>
          </xdr:cNvPr>
          <xdr:cNvGrpSpPr/>
        </xdr:nvGrpSpPr>
        <xdr:grpSpPr>
          <a:xfrm>
            <a:off x="11499861" y="10532426"/>
            <a:ext cx="10985443" cy="6733808"/>
            <a:chOff x="11499861" y="10532426"/>
            <a:chExt cx="10985443" cy="6733808"/>
          </a:xfrm>
        </xdr:grpSpPr>
        <xdr:sp macro="" textlink="">
          <xdr:nvSpPr>
            <xdr:cNvPr id="481" name="Rectángulo redondeado 480">
              <a:extLst>
                <a:ext uri="{FF2B5EF4-FFF2-40B4-BE49-F238E27FC236}">
                  <a16:creationId xmlns:a16="http://schemas.microsoft.com/office/drawing/2014/main" id="{00000000-0008-0000-0900-0000E1010000}"/>
                </a:ext>
              </a:extLst>
            </xdr:cNvPr>
            <xdr:cNvSpPr/>
          </xdr:nvSpPr>
          <xdr:spPr>
            <a:xfrm>
              <a:off x="11499861" y="10532426"/>
              <a:ext cx="10985443" cy="6733808"/>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82" name="Grupo 481">
              <a:extLst>
                <a:ext uri="{FF2B5EF4-FFF2-40B4-BE49-F238E27FC236}">
                  <a16:creationId xmlns:a16="http://schemas.microsoft.com/office/drawing/2014/main" id="{00000000-0008-0000-0900-0000E2010000}"/>
                </a:ext>
              </a:extLst>
            </xdr:cNvPr>
            <xdr:cNvGrpSpPr/>
          </xdr:nvGrpSpPr>
          <xdr:grpSpPr>
            <a:xfrm>
              <a:off x="11628297" y="10545796"/>
              <a:ext cx="10702250" cy="1610668"/>
              <a:chOff x="23591622" y="10409779"/>
              <a:chExt cx="10696947" cy="1670512"/>
            </a:xfrm>
          </xdr:grpSpPr>
          <xdr:sp macro="" textlink="">
            <xdr:nvSpPr>
              <xdr:cNvPr id="668" name="Flecha abajo 667">
                <a:extLst>
                  <a:ext uri="{FF2B5EF4-FFF2-40B4-BE49-F238E27FC236}">
                    <a16:creationId xmlns:a16="http://schemas.microsoft.com/office/drawing/2014/main" id="{00000000-0008-0000-0900-00009C020000}"/>
                  </a:ext>
                </a:extLst>
              </xdr:cNvPr>
              <xdr:cNvSpPr/>
            </xdr:nvSpPr>
            <xdr:spPr>
              <a:xfrm>
                <a:off x="28974618" y="11749159"/>
                <a:ext cx="468629" cy="297131"/>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69" name="Grupo 668">
                <a:extLst>
                  <a:ext uri="{FF2B5EF4-FFF2-40B4-BE49-F238E27FC236}">
                    <a16:creationId xmlns:a16="http://schemas.microsoft.com/office/drawing/2014/main" id="{00000000-0008-0000-0900-00009D020000}"/>
                  </a:ext>
                </a:extLst>
              </xdr:cNvPr>
              <xdr:cNvGrpSpPr/>
            </xdr:nvGrpSpPr>
            <xdr:grpSpPr>
              <a:xfrm>
                <a:off x="23591622" y="10409779"/>
                <a:ext cx="720000" cy="1670512"/>
                <a:chOff x="27309535" y="8324853"/>
                <a:chExt cx="719033" cy="1610348"/>
              </a:xfrm>
            </xdr:grpSpPr>
            <xdr:sp macro="" textlink="">
              <xdr:nvSpPr>
                <xdr:cNvPr id="707" name="Rectángulo 706">
                  <a:extLst>
                    <a:ext uri="{FF2B5EF4-FFF2-40B4-BE49-F238E27FC236}">
                      <a16:creationId xmlns:a16="http://schemas.microsoft.com/office/drawing/2014/main" id="{00000000-0008-0000-0900-0000C3020000}"/>
                    </a:ext>
                  </a:extLst>
                </xdr:cNvPr>
                <xdr:cNvSpPr/>
              </xdr:nvSpPr>
              <xdr:spPr>
                <a:xfrm>
                  <a:off x="27309535" y="8450034"/>
                  <a:ext cx="719033"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708" name="CuadroTexto 707">
                  <a:extLst>
                    <a:ext uri="{FF2B5EF4-FFF2-40B4-BE49-F238E27FC236}">
                      <a16:creationId xmlns:a16="http://schemas.microsoft.com/office/drawing/2014/main" id="{00000000-0008-0000-0900-0000C4020000}"/>
                    </a:ext>
                  </a:extLst>
                </xdr:cNvPr>
                <xdr:cNvSpPr txBox="1"/>
              </xdr:nvSpPr>
              <xdr:spPr>
                <a:xfrm rot="16200000">
                  <a:off x="26864250"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grpSp>
            <xdr:nvGrpSpPr>
              <xdr:cNvPr id="670" name="Grupo 669">
                <a:extLst>
                  <a:ext uri="{FF2B5EF4-FFF2-40B4-BE49-F238E27FC236}">
                    <a16:creationId xmlns:a16="http://schemas.microsoft.com/office/drawing/2014/main" id="{00000000-0008-0000-0900-00009E020000}"/>
                  </a:ext>
                </a:extLst>
              </xdr:cNvPr>
              <xdr:cNvGrpSpPr/>
            </xdr:nvGrpSpPr>
            <xdr:grpSpPr>
              <a:xfrm>
                <a:off x="24387792" y="10902423"/>
                <a:ext cx="2626610" cy="764587"/>
                <a:chOff x="12791456" y="12043791"/>
                <a:chExt cx="2623086" cy="750638"/>
              </a:xfrm>
            </xdr:grpSpPr>
            <xdr:grpSp>
              <xdr:nvGrpSpPr>
                <xdr:cNvPr id="698" name="Grupo 697">
                  <a:extLst>
                    <a:ext uri="{FF2B5EF4-FFF2-40B4-BE49-F238E27FC236}">
                      <a16:creationId xmlns:a16="http://schemas.microsoft.com/office/drawing/2014/main" id="{00000000-0008-0000-0900-0000BA020000}"/>
                    </a:ext>
                  </a:extLst>
                </xdr:cNvPr>
                <xdr:cNvGrpSpPr/>
              </xdr:nvGrpSpPr>
              <xdr:grpSpPr>
                <a:xfrm>
                  <a:off x="12791456" y="12043791"/>
                  <a:ext cx="2623086" cy="734845"/>
                  <a:chOff x="12791456" y="12043791"/>
                  <a:chExt cx="2623086" cy="734845"/>
                </a:xfrm>
              </xdr:grpSpPr>
              <xdr:grpSp>
                <xdr:nvGrpSpPr>
                  <xdr:cNvPr id="703" name="Grupo 702">
                    <a:extLst>
                      <a:ext uri="{FF2B5EF4-FFF2-40B4-BE49-F238E27FC236}">
                        <a16:creationId xmlns:a16="http://schemas.microsoft.com/office/drawing/2014/main" id="{00000000-0008-0000-0900-0000BF020000}"/>
                      </a:ext>
                    </a:extLst>
                  </xdr:cNvPr>
                  <xdr:cNvGrpSpPr/>
                </xdr:nvGrpSpPr>
                <xdr:grpSpPr>
                  <a:xfrm>
                    <a:off x="12791456" y="12043791"/>
                    <a:ext cx="2623086" cy="734845"/>
                    <a:chOff x="12791456" y="12043791"/>
                    <a:chExt cx="2623086" cy="734845"/>
                  </a:xfrm>
                </xdr:grpSpPr>
                <xdr:sp macro="" textlink="">
                  <xdr:nvSpPr>
                    <xdr:cNvPr id="705" name="Cheurón 704">
                      <a:extLst>
                        <a:ext uri="{FF2B5EF4-FFF2-40B4-BE49-F238E27FC236}">
                          <a16:creationId xmlns:a16="http://schemas.microsoft.com/office/drawing/2014/main" id="{00000000-0008-0000-0900-0000C1020000}"/>
                        </a:ext>
                      </a:extLst>
                    </xdr:cNvPr>
                    <xdr:cNvSpPr/>
                  </xdr:nvSpPr>
                  <xdr:spPr>
                    <a:xfrm>
                      <a:off x="12791456" y="12043791"/>
                      <a:ext cx="2623086" cy="734845"/>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06" name="CuadroTexto 705">
                      <a:extLst>
                        <a:ext uri="{FF2B5EF4-FFF2-40B4-BE49-F238E27FC236}">
                          <a16:creationId xmlns:a16="http://schemas.microsoft.com/office/drawing/2014/main" id="{00000000-0008-0000-0900-0000C2020000}"/>
                        </a:ext>
                      </a:extLst>
                    </xdr:cNvPr>
                    <xdr:cNvSpPr txBox="1"/>
                  </xdr:nvSpPr>
                  <xdr:spPr>
                    <a:xfrm>
                      <a:off x="12990347" y="12201748"/>
                      <a:ext cx="1710407" cy="44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grpSp>
              <xdr:sp macro="" textlink="$T$6">
                <xdr:nvSpPr>
                  <xdr:cNvPr id="704" name="Rectángulo redondeado 703">
                    <a:extLst>
                      <a:ext uri="{FF2B5EF4-FFF2-40B4-BE49-F238E27FC236}">
                        <a16:creationId xmlns:a16="http://schemas.microsoft.com/office/drawing/2014/main" id="{00000000-0008-0000-0900-0000C0020000}"/>
                      </a:ext>
                    </a:extLst>
                  </xdr:cNvPr>
                  <xdr:cNvSpPr/>
                </xdr:nvSpPr>
                <xdr:spPr>
                  <a:xfrm>
                    <a:off x="14441374" y="12157963"/>
                    <a:ext cx="934250" cy="5126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0B9951-99AD-4B57-9599-F5F4DFD51AE4}" type="TxLink">
                      <a:rPr lang="en-US" sz="1600" b="1" i="0" u="none" strike="noStrike">
                        <a:solidFill>
                          <a:srgbClr val="FFFF00"/>
                        </a:solidFill>
                        <a:latin typeface="Century Gothic"/>
                      </a:rPr>
                      <a:pPr algn="ctr"/>
                      <a:t>-</a:t>
                    </a:fld>
                    <a:endParaRPr lang="es-CO" sz="3200">
                      <a:solidFill>
                        <a:srgbClr val="FFFF00"/>
                      </a:solidFill>
                    </a:endParaRPr>
                  </a:p>
                </xdr:txBody>
              </xdr:sp>
            </xdr:grpSp>
            <xdr:grpSp>
              <xdr:nvGrpSpPr>
                <xdr:cNvPr id="699" name="Grupo 698">
                  <a:extLst>
                    <a:ext uri="{FF2B5EF4-FFF2-40B4-BE49-F238E27FC236}">
                      <a16:creationId xmlns:a16="http://schemas.microsoft.com/office/drawing/2014/main" id="{00000000-0008-0000-0900-0000BB020000}"/>
                    </a:ext>
                  </a:extLst>
                </xdr:cNvPr>
                <xdr:cNvGrpSpPr/>
              </xdr:nvGrpSpPr>
              <xdr:grpSpPr>
                <a:xfrm>
                  <a:off x="14430066" y="12513583"/>
                  <a:ext cx="828000" cy="280846"/>
                  <a:chOff x="14416675" y="12646385"/>
                  <a:chExt cx="828000" cy="280846"/>
                </a:xfrm>
              </xdr:grpSpPr>
              <xdr:sp macro="" textlink="$N$6">
                <xdr:nvSpPr>
                  <xdr:cNvPr id="700" name="Rectángulo 699">
                    <a:extLst>
                      <a:ext uri="{FF2B5EF4-FFF2-40B4-BE49-F238E27FC236}">
                        <a16:creationId xmlns:a16="http://schemas.microsoft.com/office/drawing/2014/main" id="{00000000-0008-0000-0900-0000BC020000}"/>
                      </a:ext>
                    </a:extLst>
                  </xdr:cNvPr>
                  <xdr:cNvSpPr/>
                </xdr:nvSpPr>
                <xdr:spPr>
                  <a:xfrm>
                    <a:off x="14471420"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8309385-39F2-4D7C-8A93-448A93CE4AC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6">
                <xdr:nvSpPr>
                  <xdr:cNvPr id="701" name="Rectángulo 700">
                    <a:extLst>
                      <a:ext uri="{FF2B5EF4-FFF2-40B4-BE49-F238E27FC236}">
                        <a16:creationId xmlns:a16="http://schemas.microsoft.com/office/drawing/2014/main" id="{00000000-0008-0000-0900-0000BD020000}"/>
                      </a:ext>
                    </a:extLst>
                  </xdr:cNvPr>
                  <xdr:cNvSpPr/>
                </xdr:nvSpPr>
                <xdr:spPr>
                  <a:xfrm>
                    <a:off x="14766080"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9E36D7-6AA5-4208-90AA-B4970FB85D9D}" type="TxLink">
                      <a:rPr lang="en-US" sz="1100" b="1" i="0" u="none" strike="noStrike">
                        <a:solidFill>
                          <a:srgbClr val="FFFF00"/>
                        </a:solidFill>
                        <a:latin typeface="Century Gothic"/>
                      </a:rPr>
                      <a:pPr algn="ctr"/>
                      <a:t>11</a:t>
                    </a:fld>
                    <a:endParaRPr lang="es-CO" sz="1100" b="1">
                      <a:solidFill>
                        <a:srgbClr val="FFFF00"/>
                      </a:solidFill>
                    </a:endParaRPr>
                  </a:p>
                </xdr:txBody>
              </xdr:sp>
              <xdr:sp macro="" textlink="">
                <xdr:nvSpPr>
                  <xdr:cNvPr id="702" name="CuadroTexto 701">
                    <a:extLst>
                      <a:ext uri="{FF2B5EF4-FFF2-40B4-BE49-F238E27FC236}">
                        <a16:creationId xmlns:a16="http://schemas.microsoft.com/office/drawing/2014/main" id="{00000000-0008-0000-0900-0000BE020000}"/>
                      </a:ext>
                    </a:extLst>
                  </xdr:cNvPr>
                  <xdr:cNvSpPr txBox="1"/>
                </xdr:nvSpPr>
                <xdr:spPr>
                  <a:xfrm>
                    <a:off x="14416675" y="12646385"/>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71" name="Grupo 670">
                <a:extLst>
                  <a:ext uri="{FF2B5EF4-FFF2-40B4-BE49-F238E27FC236}">
                    <a16:creationId xmlns:a16="http://schemas.microsoft.com/office/drawing/2014/main" id="{00000000-0008-0000-0900-00009F020000}"/>
                  </a:ext>
                </a:extLst>
              </xdr:cNvPr>
              <xdr:cNvGrpSpPr/>
            </xdr:nvGrpSpPr>
            <xdr:grpSpPr>
              <a:xfrm>
                <a:off x="26810879" y="10902423"/>
                <a:ext cx="2631533" cy="764587"/>
                <a:chOff x="15211291" y="12043791"/>
                <a:chExt cx="2628002" cy="750638"/>
              </a:xfrm>
            </xdr:grpSpPr>
            <xdr:grpSp>
              <xdr:nvGrpSpPr>
                <xdr:cNvPr id="690" name="Grupo 689">
                  <a:extLst>
                    <a:ext uri="{FF2B5EF4-FFF2-40B4-BE49-F238E27FC236}">
                      <a16:creationId xmlns:a16="http://schemas.microsoft.com/office/drawing/2014/main" id="{00000000-0008-0000-0900-0000B2020000}"/>
                    </a:ext>
                  </a:extLst>
                </xdr:cNvPr>
                <xdr:cNvGrpSpPr/>
              </xdr:nvGrpSpPr>
              <xdr:grpSpPr>
                <a:xfrm>
                  <a:off x="15211291" y="12043791"/>
                  <a:ext cx="2628002" cy="734845"/>
                  <a:chOff x="28594637" y="2081892"/>
                  <a:chExt cx="2433637" cy="585107"/>
                </a:xfrm>
              </xdr:grpSpPr>
              <xdr:sp macro="" textlink="">
                <xdr:nvSpPr>
                  <xdr:cNvPr id="695" name="Cheurón 694">
                    <a:extLst>
                      <a:ext uri="{FF2B5EF4-FFF2-40B4-BE49-F238E27FC236}">
                        <a16:creationId xmlns:a16="http://schemas.microsoft.com/office/drawing/2014/main" id="{00000000-0008-0000-0900-0000B702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96" name="CuadroTexto 695">
                    <a:extLst>
                      <a:ext uri="{FF2B5EF4-FFF2-40B4-BE49-F238E27FC236}">
                        <a16:creationId xmlns:a16="http://schemas.microsoft.com/office/drawing/2014/main" id="{00000000-0008-0000-0900-0000B8020000}"/>
                      </a:ext>
                    </a:extLst>
                  </xdr:cNvPr>
                  <xdr:cNvSpPr txBox="1"/>
                </xdr:nvSpPr>
                <xdr:spPr>
                  <a:xfrm>
                    <a:off x="2881925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T$7">
                <xdr:nvSpPr>
                  <xdr:cNvPr id="697" name="Rectángulo redondeado 696">
                    <a:extLst>
                      <a:ext uri="{FF2B5EF4-FFF2-40B4-BE49-F238E27FC236}">
                        <a16:creationId xmlns:a16="http://schemas.microsoft.com/office/drawing/2014/main" id="{00000000-0008-0000-0900-0000B9020000}"/>
                      </a:ext>
                    </a:extLst>
                  </xdr:cNvPr>
                  <xdr:cNvSpPr/>
                </xdr:nvSpPr>
                <xdr:spPr>
                  <a:xfrm>
                    <a:off x="30140480" y="2172799"/>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786A84D-ABA5-4E7C-9FA0-E1A17B8F17E5}" type="TxLink">
                      <a:rPr lang="en-US" sz="1600" b="1" i="0" u="none" strike="noStrike">
                        <a:solidFill>
                          <a:srgbClr val="FFFF00"/>
                        </a:solidFill>
                        <a:latin typeface="Century Gothic"/>
                      </a:rPr>
                      <a:pPr algn="ctr"/>
                      <a:t>85,7%</a:t>
                    </a:fld>
                    <a:endParaRPr lang="es-CO" sz="3200">
                      <a:solidFill>
                        <a:srgbClr val="FFFF00"/>
                      </a:solidFill>
                    </a:endParaRPr>
                  </a:p>
                </xdr:txBody>
              </xdr:sp>
            </xdr:grpSp>
            <xdr:grpSp>
              <xdr:nvGrpSpPr>
                <xdr:cNvPr id="691" name="Grupo 690">
                  <a:extLst>
                    <a:ext uri="{FF2B5EF4-FFF2-40B4-BE49-F238E27FC236}">
                      <a16:creationId xmlns:a16="http://schemas.microsoft.com/office/drawing/2014/main" id="{00000000-0008-0000-0900-0000B3020000}"/>
                    </a:ext>
                  </a:extLst>
                </xdr:cNvPr>
                <xdr:cNvGrpSpPr/>
              </xdr:nvGrpSpPr>
              <xdr:grpSpPr>
                <a:xfrm>
                  <a:off x="16855636" y="12514864"/>
                  <a:ext cx="828000" cy="279565"/>
                  <a:chOff x="16855636" y="12621689"/>
                  <a:chExt cx="828000" cy="279565"/>
                </a:xfrm>
              </xdr:grpSpPr>
              <xdr:sp macro="" textlink="$N$7">
                <xdr:nvSpPr>
                  <xdr:cNvPr id="692" name="Rectángulo 691">
                    <a:extLst>
                      <a:ext uri="{FF2B5EF4-FFF2-40B4-BE49-F238E27FC236}">
                        <a16:creationId xmlns:a16="http://schemas.microsoft.com/office/drawing/2014/main" id="{00000000-0008-0000-0900-0000B4020000}"/>
                      </a:ext>
                    </a:extLst>
                  </xdr:cNvPr>
                  <xdr:cNvSpPr/>
                </xdr:nvSpPr>
                <xdr:spPr>
                  <a:xfrm>
                    <a:off x="16903633"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92D54A-8F7C-408D-B315-6C8F37C6F287}"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M$7">
                <xdr:nvSpPr>
                  <xdr:cNvPr id="693" name="Rectángulo 692">
                    <a:extLst>
                      <a:ext uri="{FF2B5EF4-FFF2-40B4-BE49-F238E27FC236}">
                        <a16:creationId xmlns:a16="http://schemas.microsoft.com/office/drawing/2014/main" id="{00000000-0008-0000-0900-0000B5020000}"/>
                      </a:ext>
                    </a:extLst>
                  </xdr:cNvPr>
                  <xdr:cNvSpPr/>
                </xdr:nvSpPr>
                <xdr:spPr>
                  <a:xfrm>
                    <a:off x="17198288"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D4121E-8341-4120-9D06-475AD98AEC03}" type="TxLink">
                      <a:rPr lang="en-US" sz="1100" b="1" i="0" u="none" strike="noStrike">
                        <a:solidFill>
                          <a:srgbClr val="FFFF00"/>
                        </a:solidFill>
                        <a:latin typeface="Century Gothic"/>
                      </a:rPr>
                      <a:pPr algn="ctr"/>
                      <a:t>17</a:t>
                    </a:fld>
                    <a:endParaRPr lang="es-CO" sz="1100" b="1">
                      <a:solidFill>
                        <a:srgbClr val="FFFF00"/>
                      </a:solidFill>
                    </a:endParaRPr>
                  </a:p>
                </xdr:txBody>
              </xdr:sp>
              <xdr:sp macro="" textlink="">
                <xdr:nvSpPr>
                  <xdr:cNvPr id="694" name="CuadroTexto 693">
                    <a:extLst>
                      <a:ext uri="{FF2B5EF4-FFF2-40B4-BE49-F238E27FC236}">
                        <a16:creationId xmlns:a16="http://schemas.microsoft.com/office/drawing/2014/main" id="{00000000-0008-0000-0900-0000B6020000}"/>
                      </a:ext>
                    </a:extLst>
                  </xdr:cNvPr>
                  <xdr:cNvSpPr txBox="1"/>
                </xdr:nvSpPr>
                <xdr:spPr>
                  <a:xfrm>
                    <a:off x="16855636" y="12629068"/>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72" name="Grupo 671">
                <a:extLst>
                  <a:ext uri="{FF2B5EF4-FFF2-40B4-BE49-F238E27FC236}">
                    <a16:creationId xmlns:a16="http://schemas.microsoft.com/office/drawing/2014/main" id="{00000000-0008-0000-0900-0000A0020000}"/>
                  </a:ext>
                </a:extLst>
              </xdr:cNvPr>
              <xdr:cNvGrpSpPr/>
            </xdr:nvGrpSpPr>
            <xdr:grpSpPr>
              <a:xfrm>
                <a:off x="29238892" y="10902423"/>
                <a:ext cx="2626608" cy="769417"/>
                <a:chOff x="17636047" y="12043791"/>
                <a:chExt cx="2623084" cy="755380"/>
              </a:xfrm>
            </xdr:grpSpPr>
            <xdr:grpSp>
              <xdr:nvGrpSpPr>
                <xdr:cNvPr id="682" name="Grupo 681">
                  <a:extLst>
                    <a:ext uri="{FF2B5EF4-FFF2-40B4-BE49-F238E27FC236}">
                      <a16:creationId xmlns:a16="http://schemas.microsoft.com/office/drawing/2014/main" id="{00000000-0008-0000-0900-0000AA020000}"/>
                    </a:ext>
                  </a:extLst>
                </xdr:cNvPr>
                <xdr:cNvGrpSpPr/>
              </xdr:nvGrpSpPr>
              <xdr:grpSpPr>
                <a:xfrm>
                  <a:off x="17636047" y="12043791"/>
                  <a:ext cx="2623084" cy="734845"/>
                  <a:chOff x="28531632" y="2081892"/>
                  <a:chExt cx="2433638" cy="585107"/>
                </a:xfrm>
              </xdr:grpSpPr>
              <xdr:sp macro="" textlink="">
                <xdr:nvSpPr>
                  <xdr:cNvPr id="687" name="Cheurón 686">
                    <a:extLst>
                      <a:ext uri="{FF2B5EF4-FFF2-40B4-BE49-F238E27FC236}">
                        <a16:creationId xmlns:a16="http://schemas.microsoft.com/office/drawing/2014/main" id="{00000000-0008-0000-0900-0000AF02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88" name="CuadroTexto 687">
                    <a:extLst>
                      <a:ext uri="{FF2B5EF4-FFF2-40B4-BE49-F238E27FC236}">
                        <a16:creationId xmlns:a16="http://schemas.microsoft.com/office/drawing/2014/main" id="{00000000-0008-0000-0900-0000B0020000}"/>
                      </a:ext>
                    </a:extLst>
                  </xdr:cNvPr>
                  <xdr:cNvSpPr txBox="1"/>
                </xdr:nvSpPr>
                <xdr:spPr>
                  <a:xfrm>
                    <a:off x="28789623" y="2127664"/>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T$8">
                <xdr:nvSpPr>
                  <xdr:cNvPr id="689" name="Rectángulo redondeado 688">
                    <a:extLst>
                      <a:ext uri="{FF2B5EF4-FFF2-40B4-BE49-F238E27FC236}">
                        <a16:creationId xmlns:a16="http://schemas.microsoft.com/office/drawing/2014/main" id="{00000000-0008-0000-0900-0000B1020000}"/>
                      </a:ext>
                    </a:extLst>
                  </xdr:cNvPr>
                  <xdr:cNvSpPr/>
                </xdr:nvSpPr>
                <xdr:spPr>
                  <a:xfrm>
                    <a:off x="300900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1F6E5E-7D44-48F3-A52E-DE60B8763AD2}" type="TxLink">
                      <a:rPr lang="en-US" sz="1600" b="1" i="0" u="none" strike="noStrike">
                        <a:solidFill>
                          <a:srgbClr val="FFFF00"/>
                        </a:solidFill>
                        <a:latin typeface="Century Gothic"/>
                      </a:rPr>
                      <a:pPr algn="ctr"/>
                      <a:t>-</a:t>
                    </a:fld>
                    <a:endParaRPr lang="es-CO" sz="4800">
                      <a:solidFill>
                        <a:srgbClr val="FFFF00"/>
                      </a:solidFill>
                    </a:endParaRPr>
                  </a:p>
                </xdr:txBody>
              </xdr:sp>
            </xdr:grpSp>
            <xdr:grpSp>
              <xdr:nvGrpSpPr>
                <xdr:cNvPr id="683" name="Grupo 682">
                  <a:extLst>
                    <a:ext uri="{FF2B5EF4-FFF2-40B4-BE49-F238E27FC236}">
                      <a16:creationId xmlns:a16="http://schemas.microsoft.com/office/drawing/2014/main" id="{00000000-0008-0000-0900-0000AB020000}"/>
                    </a:ext>
                  </a:extLst>
                </xdr:cNvPr>
                <xdr:cNvGrpSpPr/>
              </xdr:nvGrpSpPr>
              <xdr:grpSpPr>
                <a:xfrm>
                  <a:off x="19306403" y="12514864"/>
                  <a:ext cx="828000" cy="284307"/>
                  <a:chOff x="19306403" y="12641831"/>
                  <a:chExt cx="828000" cy="284307"/>
                </a:xfrm>
              </xdr:grpSpPr>
              <xdr:sp macro="" textlink="$N$8">
                <xdr:nvSpPr>
                  <xdr:cNvPr id="684" name="Rectángulo 683">
                    <a:extLst>
                      <a:ext uri="{FF2B5EF4-FFF2-40B4-BE49-F238E27FC236}">
                        <a16:creationId xmlns:a16="http://schemas.microsoft.com/office/drawing/2014/main" id="{00000000-0008-0000-0900-0000AC020000}"/>
                      </a:ext>
                    </a:extLst>
                  </xdr:cNvPr>
                  <xdr:cNvSpPr/>
                </xdr:nvSpPr>
                <xdr:spPr>
                  <a:xfrm>
                    <a:off x="19354400"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B89987-AF06-4511-A027-DF43F0B38D0B}"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M$8">
                <xdr:nvSpPr>
                  <xdr:cNvPr id="685" name="Rectángulo 684">
                    <a:extLst>
                      <a:ext uri="{FF2B5EF4-FFF2-40B4-BE49-F238E27FC236}">
                        <a16:creationId xmlns:a16="http://schemas.microsoft.com/office/drawing/2014/main" id="{00000000-0008-0000-0900-0000AD020000}"/>
                      </a:ext>
                    </a:extLst>
                  </xdr:cNvPr>
                  <xdr:cNvSpPr/>
                </xdr:nvSpPr>
                <xdr:spPr>
                  <a:xfrm>
                    <a:off x="19649055"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1603F0-0DE9-401F-8BDC-A7147D0F7833}"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
                <xdr:nvSpPr>
                  <xdr:cNvPr id="686" name="CuadroTexto 685">
                    <a:extLst>
                      <a:ext uri="{FF2B5EF4-FFF2-40B4-BE49-F238E27FC236}">
                        <a16:creationId xmlns:a16="http://schemas.microsoft.com/office/drawing/2014/main" id="{00000000-0008-0000-0900-0000AE020000}"/>
                      </a:ext>
                    </a:extLst>
                  </xdr:cNvPr>
                  <xdr:cNvSpPr txBox="1"/>
                </xdr:nvSpPr>
                <xdr:spPr>
                  <a:xfrm>
                    <a:off x="19306403" y="12657868"/>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73" name="Grupo 672">
                <a:extLst>
                  <a:ext uri="{FF2B5EF4-FFF2-40B4-BE49-F238E27FC236}">
                    <a16:creationId xmlns:a16="http://schemas.microsoft.com/office/drawing/2014/main" id="{00000000-0008-0000-0900-0000A1020000}"/>
                  </a:ext>
                </a:extLst>
              </xdr:cNvPr>
              <xdr:cNvGrpSpPr/>
            </xdr:nvGrpSpPr>
            <xdr:grpSpPr>
              <a:xfrm>
                <a:off x="31661992" y="10902423"/>
                <a:ext cx="2626577" cy="764587"/>
                <a:chOff x="20055895" y="12043791"/>
                <a:chExt cx="2623053" cy="750638"/>
              </a:xfrm>
            </xdr:grpSpPr>
            <xdr:grpSp>
              <xdr:nvGrpSpPr>
                <xdr:cNvPr id="674" name="Grupo 673">
                  <a:extLst>
                    <a:ext uri="{FF2B5EF4-FFF2-40B4-BE49-F238E27FC236}">
                      <a16:creationId xmlns:a16="http://schemas.microsoft.com/office/drawing/2014/main" id="{00000000-0008-0000-0900-0000A2020000}"/>
                    </a:ext>
                  </a:extLst>
                </xdr:cNvPr>
                <xdr:cNvGrpSpPr/>
              </xdr:nvGrpSpPr>
              <xdr:grpSpPr>
                <a:xfrm>
                  <a:off x="20055895" y="12043791"/>
                  <a:ext cx="2623053" cy="734845"/>
                  <a:chOff x="28468627" y="2081892"/>
                  <a:chExt cx="2433638" cy="585107"/>
                </a:xfrm>
              </xdr:grpSpPr>
              <xdr:sp macro="" textlink="">
                <xdr:nvSpPr>
                  <xdr:cNvPr id="679" name="Cheurón 678">
                    <a:extLst>
                      <a:ext uri="{FF2B5EF4-FFF2-40B4-BE49-F238E27FC236}">
                        <a16:creationId xmlns:a16="http://schemas.microsoft.com/office/drawing/2014/main" id="{00000000-0008-0000-0900-0000A702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80" name="CuadroTexto 679">
                    <a:extLst>
                      <a:ext uri="{FF2B5EF4-FFF2-40B4-BE49-F238E27FC236}">
                        <a16:creationId xmlns:a16="http://schemas.microsoft.com/office/drawing/2014/main" id="{00000000-0008-0000-0900-0000A8020000}"/>
                      </a:ext>
                    </a:extLst>
                  </xdr:cNvPr>
                  <xdr:cNvSpPr txBox="1"/>
                </xdr:nvSpPr>
                <xdr:spPr>
                  <a:xfrm>
                    <a:off x="28782571"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T$9">
                <xdr:nvSpPr>
                  <xdr:cNvPr id="681" name="Rectángulo redondeado 680">
                    <a:extLst>
                      <a:ext uri="{FF2B5EF4-FFF2-40B4-BE49-F238E27FC236}">
                        <a16:creationId xmlns:a16="http://schemas.microsoft.com/office/drawing/2014/main" id="{00000000-0008-0000-0900-0000A9020000}"/>
                      </a:ext>
                    </a:extLst>
                  </xdr:cNvPr>
                  <xdr:cNvSpPr/>
                </xdr:nvSpPr>
                <xdr:spPr>
                  <a:xfrm>
                    <a:off x="30000728"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E93C2AF-D81D-456E-B62B-3976DEF494AE}" type="TxLink">
                      <a:rPr lang="en-US" sz="1600" b="1" i="0" u="none" strike="noStrike">
                        <a:solidFill>
                          <a:srgbClr val="FFFF00"/>
                        </a:solidFill>
                        <a:latin typeface="Century Gothic"/>
                      </a:rPr>
                      <a:pPr algn="ctr"/>
                      <a:t>90,9%</a:t>
                    </a:fld>
                    <a:endParaRPr lang="es-CO" sz="3200">
                      <a:solidFill>
                        <a:srgbClr val="FFFF00"/>
                      </a:solidFill>
                    </a:endParaRPr>
                  </a:p>
                </xdr:txBody>
              </xdr:sp>
            </xdr:grpSp>
            <xdr:grpSp>
              <xdr:nvGrpSpPr>
                <xdr:cNvPr id="675" name="Grupo 674">
                  <a:extLst>
                    <a:ext uri="{FF2B5EF4-FFF2-40B4-BE49-F238E27FC236}">
                      <a16:creationId xmlns:a16="http://schemas.microsoft.com/office/drawing/2014/main" id="{00000000-0008-0000-0900-0000A3020000}"/>
                    </a:ext>
                  </a:extLst>
                </xdr:cNvPr>
                <xdr:cNvGrpSpPr/>
              </xdr:nvGrpSpPr>
              <xdr:grpSpPr>
                <a:xfrm>
                  <a:off x="21697227" y="12513583"/>
                  <a:ext cx="825527" cy="280846"/>
                  <a:chOff x="21697227" y="12727140"/>
                  <a:chExt cx="825527" cy="280846"/>
                </a:xfrm>
              </xdr:grpSpPr>
              <xdr:sp macro="" textlink="$N$9">
                <xdr:nvSpPr>
                  <xdr:cNvPr id="676" name="Rectángulo 675">
                    <a:extLst>
                      <a:ext uri="{FF2B5EF4-FFF2-40B4-BE49-F238E27FC236}">
                        <a16:creationId xmlns:a16="http://schemas.microsoft.com/office/drawing/2014/main" id="{00000000-0008-0000-0900-0000A4020000}"/>
                      </a:ext>
                    </a:extLst>
                  </xdr:cNvPr>
                  <xdr:cNvSpPr/>
                </xdr:nvSpPr>
                <xdr:spPr>
                  <a:xfrm>
                    <a:off x="21745223" y="12728421"/>
                    <a:ext cx="429527"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3C4EFCE-D851-4F37-A5D2-0C96E6F6509B}" type="TxLink">
                      <a:rPr lang="en-US" sz="1100" b="1" i="0" u="none" strike="noStrike">
                        <a:solidFill>
                          <a:srgbClr val="FFFF00"/>
                        </a:solidFill>
                        <a:latin typeface="Century Gothic"/>
                      </a:rPr>
                      <a:pPr algn="ctr"/>
                      <a:t>10</a:t>
                    </a:fld>
                    <a:endParaRPr lang="es-CO" sz="1100" b="1">
                      <a:solidFill>
                        <a:srgbClr val="FFFF00"/>
                      </a:solidFill>
                    </a:endParaRPr>
                  </a:p>
                </xdr:txBody>
              </xdr:sp>
              <xdr:sp macro="" textlink="$M$9">
                <xdr:nvSpPr>
                  <xdr:cNvPr id="677" name="Rectángulo 676">
                    <a:extLst>
                      <a:ext uri="{FF2B5EF4-FFF2-40B4-BE49-F238E27FC236}">
                        <a16:creationId xmlns:a16="http://schemas.microsoft.com/office/drawing/2014/main" id="{00000000-0008-0000-0900-0000A5020000}"/>
                      </a:ext>
                    </a:extLst>
                  </xdr:cNvPr>
                  <xdr:cNvSpPr/>
                </xdr:nvSpPr>
                <xdr:spPr>
                  <a:xfrm>
                    <a:off x="22037405" y="12728421"/>
                    <a:ext cx="422475"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AC71A4-EB14-495A-8D1F-A70B64030A09}" type="TxLink">
                      <a:rPr lang="en-US" sz="1100" b="1" i="0" u="none" strike="noStrike">
                        <a:solidFill>
                          <a:srgbClr val="FFFF00"/>
                        </a:solidFill>
                        <a:latin typeface="Century Gothic"/>
                      </a:rPr>
                      <a:pPr algn="ctr"/>
                      <a:t>16</a:t>
                    </a:fld>
                    <a:endParaRPr lang="es-CO" sz="1100" b="1">
                      <a:solidFill>
                        <a:srgbClr val="FFFF00"/>
                      </a:solidFill>
                    </a:endParaRPr>
                  </a:p>
                </xdr:txBody>
              </xdr:sp>
              <xdr:sp macro="" textlink="">
                <xdr:nvSpPr>
                  <xdr:cNvPr id="678" name="CuadroTexto 677">
                    <a:extLst>
                      <a:ext uri="{FF2B5EF4-FFF2-40B4-BE49-F238E27FC236}">
                        <a16:creationId xmlns:a16="http://schemas.microsoft.com/office/drawing/2014/main" id="{00000000-0008-0000-0900-0000A6020000}"/>
                      </a:ext>
                    </a:extLst>
                  </xdr:cNvPr>
                  <xdr:cNvSpPr txBox="1"/>
                </xdr:nvSpPr>
                <xdr:spPr>
                  <a:xfrm>
                    <a:off x="21697227" y="12727140"/>
                    <a:ext cx="825527"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grpSp>
          <xdr:nvGrpSpPr>
            <xdr:cNvPr id="483" name="Grupo 482">
              <a:extLst>
                <a:ext uri="{FF2B5EF4-FFF2-40B4-BE49-F238E27FC236}">
                  <a16:creationId xmlns:a16="http://schemas.microsoft.com/office/drawing/2014/main" id="{00000000-0008-0000-0900-0000E3010000}"/>
                </a:ext>
              </a:extLst>
            </xdr:cNvPr>
            <xdr:cNvGrpSpPr/>
          </xdr:nvGrpSpPr>
          <xdr:grpSpPr>
            <a:xfrm>
              <a:off x="11614957" y="12172473"/>
              <a:ext cx="10748790" cy="1515792"/>
              <a:chOff x="23578289" y="12139226"/>
              <a:chExt cx="10743464" cy="1572111"/>
            </a:xfrm>
          </xdr:grpSpPr>
          <xdr:grpSp>
            <xdr:nvGrpSpPr>
              <xdr:cNvPr id="575" name="Grupo 574">
                <a:extLst>
                  <a:ext uri="{FF2B5EF4-FFF2-40B4-BE49-F238E27FC236}">
                    <a16:creationId xmlns:a16="http://schemas.microsoft.com/office/drawing/2014/main" id="{00000000-0008-0000-0900-00003F020000}"/>
                  </a:ext>
                </a:extLst>
              </xdr:cNvPr>
              <xdr:cNvGrpSpPr/>
            </xdr:nvGrpSpPr>
            <xdr:grpSpPr>
              <a:xfrm>
                <a:off x="24398491" y="12144861"/>
                <a:ext cx="2159944" cy="773877"/>
                <a:chOff x="12802141" y="13263561"/>
                <a:chExt cx="2157046" cy="759759"/>
              </a:xfrm>
            </xdr:grpSpPr>
            <xdr:grpSp>
              <xdr:nvGrpSpPr>
                <xdr:cNvPr id="660" name="Grupo 659">
                  <a:extLst>
                    <a:ext uri="{FF2B5EF4-FFF2-40B4-BE49-F238E27FC236}">
                      <a16:creationId xmlns:a16="http://schemas.microsoft.com/office/drawing/2014/main" id="{00000000-0008-0000-0900-000094020000}"/>
                    </a:ext>
                  </a:extLst>
                </xdr:cNvPr>
                <xdr:cNvGrpSpPr/>
              </xdr:nvGrpSpPr>
              <xdr:grpSpPr>
                <a:xfrm>
                  <a:off x="12802141" y="13263561"/>
                  <a:ext cx="2157046" cy="732326"/>
                  <a:chOff x="28686311" y="2081892"/>
                  <a:chExt cx="2000250" cy="585107"/>
                </a:xfrm>
              </xdr:grpSpPr>
              <xdr:sp macro="" textlink="">
                <xdr:nvSpPr>
                  <xdr:cNvPr id="665" name="Cheurón 664">
                    <a:extLst>
                      <a:ext uri="{FF2B5EF4-FFF2-40B4-BE49-F238E27FC236}">
                        <a16:creationId xmlns:a16="http://schemas.microsoft.com/office/drawing/2014/main" id="{00000000-0008-0000-0900-000099020000}"/>
                      </a:ext>
                    </a:extLst>
                  </xdr:cNvPr>
                  <xdr:cNvSpPr/>
                </xdr:nvSpPr>
                <xdr:spPr>
                  <a:xfrm>
                    <a:off x="2868631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66" name="CuadroTexto 665">
                    <a:extLst>
                      <a:ext uri="{FF2B5EF4-FFF2-40B4-BE49-F238E27FC236}">
                        <a16:creationId xmlns:a16="http://schemas.microsoft.com/office/drawing/2014/main" id="{00000000-0008-0000-0900-00009A020000}"/>
                      </a:ext>
                    </a:extLst>
                  </xdr:cNvPr>
                  <xdr:cNvSpPr txBox="1"/>
                </xdr:nvSpPr>
                <xdr:spPr>
                  <a:xfrm>
                    <a:off x="28878836" y="2159695"/>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T$10">
                <xdr:nvSpPr>
                  <xdr:cNvPr id="667" name="Rectángulo redondeado 666">
                    <a:extLst>
                      <a:ext uri="{FF2B5EF4-FFF2-40B4-BE49-F238E27FC236}">
                        <a16:creationId xmlns:a16="http://schemas.microsoft.com/office/drawing/2014/main" id="{00000000-0008-0000-0900-00009B020000}"/>
                      </a:ext>
                    </a:extLst>
                  </xdr:cNvPr>
                  <xdr:cNvSpPr/>
                </xdr:nvSpPr>
                <xdr:spPr>
                  <a:xfrm>
                    <a:off x="29808259" y="217277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66E2DA-ABC8-4664-AD65-5473D8E176D2}" type="TxLink">
                      <a:rPr lang="en-US" sz="1600" b="1" i="0" u="none" strike="noStrike">
                        <a:solidFill>
                          <a:srgbClr val="FFFF00"/>
                        </a:solidFill>
                        <a:latin typeface="Century Gothic"/>
                      </a:rPr>
                      <a:pPr algn="ctr"/>
                      <a:t>35,3%</a:t>
                    </a:fld>
                    <a:endParaRPr lang="es-CO" sz="3200">
                      <a:solidFill>
                        <a:srgbClr val="FFFF00"/>
                      </a:solidFill>
                    </a:endParaRPr>
                  </a:p>
                </xdr:txBody>
              </xdr:sp>
            </xdr:grpSp>
            <xdr:grpSp>
              <xdr:nvGrpSpPr>
                <xdr:cNvPr id="661" name="Grupo 660">
                  <a:extLst>
                    <a:ext uri="{FF2B5EF4-FFF2-40B4-BE49-F238E27FC236}">
                      <a16:creationId xmlns:a16="http://schemas.microsoft.com/office/drawing/2014/main" id="{00000000-0008-0000-0900-000095020000}"/>
                    </a:ext>
                  </a:extLst>
                </xdr:cNvPr>
                <xdr:cNvGrpSpPr/>
              </xdr:nvGrpSpPr>
              <xdr:grpSpPr>
                <a:xfrm>
                  <a:off x="14002235" y="13742491"/>
                  <a:ext cx="828000" cy="280829"/>
                  <a:chOff x="14028212" y="13855058"/>
                  <a:chExt cx="828000" cy="280829"/>
                </a:xfrm>
              </xdr:grpSpPr>
              <xdr:sp macro="" textlink="$N$10">
                <xdr:nvSpPr>
                  <xdr:cNvPr id="662" name="Rectángulo 661">
                    <a:extLst>
                      <a:ext uri="{FF2B5EF4-FFF2-40B4-BE49-F238E27FC236}">
                        <a16:creationId xmlns:a16="http://schemas.microsoft.com/office/drawing/2014/main" id="{00000000-0008-0000-0900-000096020000}"/>
                      </a:ext>
                    </a:extLst>
                  </xdr:cNvPr>
                  <xdr:cNvSpPr/>
                </xdr:nvSpPr>
                <xdr:spPr>
                  <a:xfrm>
                    <a:off x="14084867" y="1386003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50D1064-CC67-4F31-83B7-84C2B481D4E6}"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M$10">
                <xdr:nvSpPr>
                  <xdr:cNvPr id="663" name="Rectángulo 662">
                    <a:extLst>
                      <a:ext uri="{FF2B5EF4-FFF2-40B4-BE49-F238E27FC236}">
                        <a16:creationId xmlns:a16="http://schemas.microsoft.com/office/drawing/2014/main" id="{00000000-0008-0000-0900-000097020000}"/>
                      </a:ext>
                    </a:extLst>
                  </xdr:cNvPr>
                  <xdr:cNvSpPr/>
                </xdr:nvSpPr>
                <xdr:spPr>
                  <a:xfrm>
                    <a:off x="14362204" y="1386003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3F135DC-310D-40DB-8936-ABEDDE1B717A}" type="TxLink">
                      <a:rPr lang="en-US" sz="1100" b="1" i="0" u="none" strike="noStrike">
                        <a:solidFill>
                          <a:srgbClr val="FFFF00"/>
                        </a:solidFill>
                        <a:latin typeface="Century Gothic"/>
                      </a:rPr>
                      <a:pPr algn="ctr"/>
                      <a:t>17</a:t>
                    </a:fld>
                    <a:endParaRPr lang="es-CO" sz="1100" b="1">
                      <a:solidFill>
                        <a:srgbClr val="FFFF00"/>
                      </a:solidFill>
                    </a:endParaRPr>
                  </a:p>
                </xdr:txBody>
              </xdr:sp>
              <xdr:sp macro="" textlink="">
                <xdr:nvSpPr>
                  <xdr:cNvPr id="664" name="CuadroTexto 663">
                    <a:extLst>
                      <a:ext uri="{FF2B5EF4-FFF2-40B4-BE49-F238E27FC236}">
                        <a16:creationId xmlns:a16="http://schemas.microsoft.com/office/drawing/2014/main" id="{00000000-0008-0000-0900-000098020000}"/>
                      </a:ext>
                    </a:extLst>
                  </xdr:cNvPr>
                  <xdr:cNvSpPr txBox="1"/>
                </xdr:nvSpPr>
                <xdr:spPr>
                  <a:xfrm>
                    <a:off x="14028212" y="13855058"/>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76" name="Grupo 575">
                <a:extLst>
                  <a:ext uri="{FF2B5EF4-FFF2-40B4-BE49-F238E27FC236}">
                    <a16:creationId xmlns:a16="http://schemas.microsoft.com/office/drawing/2014/main" id="{00000000-0008-0000-0900-000040020000}"/>
                  </a:ext>
                </a:extLst>
              </xdr:cNvPr>
              <xdr:cNvGrpSpPr/>
            </xdr:nvGrpSpPr>
            <xdr:grpSpPr>
              <a:xfrm>
                <a:off x="26343270" y="12147683"/>
                <a:ext cx="2159946" cy="768033"/>
                <a:chOff x="14744310" y="13266331"/>
                <a:chExt cx="2157048" cy="754021"/>
              </a:xfrm>
            </xdr:grpSpPr>
            <xdr:grpSp>
              <xdr:nvGrpSpPr>
                <xdr:cNvPr id="652" name="Grupo 651">
                  <a:extLst>
                    <a:ext uri="{FF2B5EF4-FFF2-40B4-BE49-F238E27FC236}">
                      <a16:creationId xmlns:a16="http://schemas.microsoft.com/office/drawing/2014/main" id="{00000000-0008-0000-0900-00008C020000}"/>
                    </a:ext>
                  </a:extLst>
                </xdr:cNvPr>
                <xdr:cNvGrpSpPr/>
              </xdr:nvGrpSpPr>
              <xdr:grpSpPr>
                <a:xfrm>
                  <a:off x="14744310" y="13266331"/>
                  <a:ext cx="2157048" cy="732326"/>
                  <a:chOff x="28670251" y="2081892"/>
                  <a:chExt cx="2000250" cy="585107"/>
                </a:xfrm>
              </xdr:grpSpPr>
              <xdr:sp macro="" textlink="">
                <xdr:nvSpPr>
                  <xdr:cNvPr id="657" name="Cheurón 656">
                    <a:extLst>
                      <a:ext uri="{FF2B5EF4-FFF2-40B4-BE49-F238E27FC236}">
                        <a16:creationId xmlns:a16="http://schemas.microsoft.com/office/drawing/2014/main" id="{00000000-0008-0000-0900-000091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58" name="CuadroTexto 657">
                    <a:extLst>
                      <a:ext uri="{FF2B5EF4-FFF2-40B4-BE49-F238E27FC236}">
                        <a16:creationId xmlns:a16="http://schemas.microsoft.com/office/drawing/2014/main" id="{00000000-0008-0000-0900-000092020000}"/>
                      </a:ext>
                    </a:extLst>
                  </xdr:cNvPr>
                  <xdr:cNvSpPr txBox="1"/>
                </xdr:nvSpPr>
                <xdr:spPr>
                  <a:xfrm>
                    <a:off x="28867685" y="2166613"/>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T$11">
                <xdr:nvSpPr>
                  <xdr:cNvPr id="659" name="Rectángulo redondeado 658">
                    <a:extLst>
                      <a:ext uri="{FF2B5EF4-FFF2-40B4-BE49-F238E27FC236}">
                        <a16:creationId xmlns:a16="http://schemas.microsoft.com/office/drawing/2014/main" id="{00000000-0008-0000-0900-000093020000}"/>
                      </a:ext>
                    </a:extLst>
                  </xdr:cNvPr>
                  <xdr:cNvSpPr/>
                </xdr:nvSpPr>
                <xdr:spPr>
                  <a:xfrm>
                    <a:off x="29779599"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8539B5-D09A-41FA-8AAE-D37A811025E9}" type="TxLink">
                      <a:rPr lang="en-US" sz="1600" b="1" i="0" u="none" strike="noStrike">
                        <a:solidFill>
                          <a:srgbClr val="FFFF00"/>
                        </a:solidFill>
                        <a:latin typeface="Century Gothic"/>
                      </a:rPr>
                      <a:pPr algn="ctr"/>
                      <a:t>66,7%</a:t>
                    </a:fld>
                    <a:endParaRPr lang="es-CO" sz="3600">
                      <a:solidFill>
                        <a:srgbClr val="FFFF00"/>
                      </a:solidFill>
                    </a:endParaRPr>
                  </a:p>
                </xdr:txBody>
              </xdr:sp>
            </xdr:grpSp>
            <xdr:grpSp>
              <xdr:nvGrpSpPr>
                <xdr:cNvPr id="653" name="Grupo 652">
                  <a:extLst>
                    <a:ext uri="{FF2B5EF4-FFF2-40B4-BE49-F238E27FC236}">
                      <a16:creationId xmlns:a16="http://schemas.microsoft.com/office/drawing/2014/main" id="{00000000-0008-0000-0900-00008D020000}"/>
                    </a:ext>
                  </a:extLst>
                </xdr:cNvPr>
                <xdr:cNvGrpSpPr/>
              </xdr:nvGrpSpPr>
              <xdr:grpSpPr>
                <a:xfrm>
                  <a:off x="15935931" y="13737792"/>
                  <a:ext cx="828000" cy="282560"/>
                  <a:chOff x="16013862" y="13850359"/>
                  <a:chExt cx="828000" cy="282560"/>
                </a:xfrm>
              </xdr:grpSpPr>
              <xdr:sp macro="" textlink="$N$11">
                <xdr:nvSpPr>
                  <xdr:cNvPr id="654" name="Rectángulo 653">
                    <a:extLst>
                      <a:ext uri="{FF2B5EF4-FFF2-40B4-BE49-F238E27FC236}">
                        <a16:creationId xmlns:a16="http://schemas.microsoft.com/office/drawing/2014/main" id="{00000000-0008-0000-0900-00008E020000}"/>
                      </a:ext>
                    </a:extLst>
                  </xdr:cNvPr>
                  <xdr:cNvSpPr/>
                </xdr:nvSpPr>
                <xdr:spPr>
                  <a:xfrm>
                    <a:off x="16070517" y="13857065"/>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AABE93-BF0F-467A-BD02-701FA096E6C8}"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M$11">
                <xdr:nvSpPr>
                  <xdr:cNvPr id="655" name="Rectángulo 654">
                    <a:extLst>
                      <a:ext uri="{FF2B5EF4-FFF2-40B4-BE49-F238E27FC236}">
                        <a16:creationId xmlns:a16="http://schemas.microsoft.com/office/drawing/2014/main" id="{00000000-0008-0000-0900-00008F020000}"/>
                      </a:ext>
                    </a:extLst>
                  </xdr:cNvPr>
                  <xdr:cNvSpPr/>
                </xdr:nvSpPr>
                <xdr:spPr>
                  <a:xfrm>
                    <a:off x="16365172" y="13857065"/>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C572A5A-4081-41D9-96CC-FAE42C7C613E}"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
                <xdr:nvSpPr>
                  <xdr:cNvPr id="656" name="CuadroTexto 655">
                    <a:extLst>
                      <a:ext uri="{FF2B5EF4-FFF2-40B4-BE49-F238E27FC236}">
                        <a16:creationId xmlns:a16="http://schemas.microsoft.com/office/drawing/2014/main" id="{00000000-0008-0000-0900-000090020000}"/>
                      </a:ext>
                    </a:extLst>
                  </xdr:cNvPr>
                  <xdr:cNvSpPr txBox="1"/>
                </xdr:nvSpPr>
                <xdr:spPr>
                  <a:xfrm>
                    <a:off x="16013862" y="13850359"/>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77" name="Grupo 576">
                <a:extLst>
                  <a:ext uri="{FF2B5EF4-FFF2-40B4-BE49-F238E27FC236}">
                    <a16:creationId xmlns:a16="http://schemas.microsoft.com/office/drawing/2014/main" id="{00000000-0008-0000-0900-000041020000}"/>
                  </a:ext>
                </a:extLst>
              </xdr:cNvPr>
              <xdr:cNvGrpSpPr/>
            </xdr:nvGrpSpPr>
            <xdr:grpSpPr>
              <a:xfrm>
                <a:off x="28305356" y="12150503"/>
                <a:ext cx="2159945" cy="766600"/>
                <a:chOff x="16703763" y="13269100"/>
                <a:chExt cx="2157047" cy="752614"/>
              </a:xfrm>
            </xdr:grpSpPr>
            <xdr:grpSp>
              <xdr:nvGrpSpPr>
                <xdr:cNvPr id="644" name="Grupo 643">
                  <a:extLst>
                    <a:ext uri="{FF2B5EF4-FFF2-40B4-BE49-F238E27FC236}">
                      <a16:creationId xmlns:a16="http://schemas.microsoft.com/office/drawing/2014/main" id="{00000000-0008-0000-0900-000084020000}"/>
                    </a:ext>
                  </a:extLst>
                </xdr:cNvPr>
                <xdr:cNvGrpSpPr/>
              </xdr:nvGrpSpPr>
              <xdr:grpSpPr>
                <a:xfrm>
                  <a:off x="16703763" y="13269100"/>
                  <a:ext cx="2157047" cy="732326"/>
                  <a:chOff x="28670251" y="2081892"/>
                  <a:chExt cx="2000250" cy="585107"/>
                </a:xfrm>
              </xdr:grpSpPr>
              <xdr:sp macro="" textlink="">
                <xdr:nvSpPr>
                  <xdr:cNvPr id="649" name="Cheurón 648">
                    <a:extLst>
                      <a:ext uri="{FF2B5EF4-FFF2-40B4-BE49-F238E27FC236}">
                        <a16:creationId xmlns:a16="http://schemas.microsoft.com/office/drawing/2014/main" id="{00000000-0008-0000-0900-000089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50" name="CuadroTexto 649">
                    <a:extLst>
                      <a:ext uri="{FF2B5EF4-FFF2-40B4-BE49-F238E27FC236}">
                        <a16:creationId xmlns:a16="http://schemas.microsoft.com/office/drawing/2014/main" id="{00000000-0008-0000-0900-00008A020000}"/>
                      </a:ext>
                    </a:extLst>
                  </xdr:cNvPr>
                  <xdr:cNvSpPr txBox="1"/>
                </xdr:nvSpPr>
                <xdr:spPr>
                  <a:xfrm>
                    <a:off x="28872820" y="2159695"/>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T$12">
                <xdr:nvSpPr>
                  <xdr:cNvPr id="651" name="Rectángulo redondeado 650">
                    <a:extLst>
                      <a:ext uri="{FF2B5EF4-FFF2-40B4-BE49-F238E27FC236}">
                        <a16:creationId xmlns:a16="http://schemas.microsoft.com/office/drawing/2014/main" id="{00000000-0008-0000-0900-00008B020000}"/>
                      </a:ext>
                    </a:extLst>
                  </xdr:cNvPr>
                  <xdr:cNvSpPr/>
                </xdr:nvSpPr>
                <xdr:spPr>
                  <a:xfrm>
                    <a:off x="29784173"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5CD2E3D-4133-47B0-B021-A2CC5FCBA7ED}" type="TxLink">
                      <a:rPr lang="en-US" sz="1600" b="1" i="0" u="none" strike="noStrike">
                        <a:solidFill>
                          <a:srgbClr val="FFFF00"/>
                        </a:solidFill>
                        <a:latin typeface="Century Gothic"/>
                      </a:rPr>
                      <a:pPr algn="ctr"/>
                      <a:t>38,5%</a:t>
                    </a:fld>
                    <a:endParaRPr lang="es-CO" sz="3600">
                      <a:solidFill>
                        <a:srgbClr val="FFFF00"/>
                      </a:solidFill>
                    </a:endParaRPr>
                  </a:p>
                </xdr:txBody>
              </xdr:sp>
            </xdr:grpSp>
            <xdr:grpSp>
              <xdr:nvGrpSpPr>
                <xdr:cNvPr id="645" name="Grupo 644">
                  <a:extLst>
                    <a:ext uri="{FF2B5EF4-FFF2-40B4-BE49-F238E27FC236}">
                      <a16:creationId xmlns:a16="http://schemas.microsoft.com/office/drawing/2014/main" id="{00000000-0008-0000-0900-000085020000}"/>
                    </a:ext>
                  </a:extLst>
                </xdr:cNvPr>
                <xdr:cNvGrpSpPr/>
              </xdr:nvGrpSpPr>
              <xdr:grpSpPr>
                <a:xfrm>
                  <a:off x="17898080" y="13739156"/>
                  <a:ext cx="828000" cy="282558"/>
                  <a:chOff x="17993329" y="13851723"/>
                  <a:chExt cx="828000" cy="282558"/>
                </a:xfrm>
              </xdr:grpSpPr>
              <xdr:sp macro="" textlink="$N$12">
                <xdr:nvSpPr>
                  <xdr:cNvPr id="646" name="Rectángulo 645">
                    <a:extLst>
                      <a:ext uri="{FF2B5EF4-FFF2-40B4-BE49-F238E27FC236}">
                        <a16:creationId xmlns:a16="http://schemas.microsoft.com/office/drawing/2014/main" id="{00000000-0008-0000-0900-000086020000}"/>
                      </a:ext>
                    </a:extLst>
                  </xdr:cNvPr>
                  <xdr:cNvSpPr/>
                </xdr:nvSpPr>
                <xdr:spPr>
                  <a:xfrm>
                    <a:off x="18032666" y="1385842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833BADA-B405-4E3B-A849-85E188264100}" type="TxLink">
                      <a:rPr lang="en-US" sz="1100" b="1" i="0" u="none" strike="noStrike">
                        <a:solidFill>
                          <a:srgbClr val="FFFF00"/>
                        </a:solidFill>
                        <a:latin typeface="Century Gothic"/>
                      </a:rPr>
                      <a:pPr algn="ctr"/>
                      <a:t>5</a:t>
                    </a:fld>
                    <a:endParaRPr lang="es-CO" sz="1100" b="1">
                      <a:solidFill>
                        <a:srgbClr val="FFFF00"/>
                      </a:solidFill>
                    </a:endParaRPr>
                  </a:p>
                </xdr:txBody>
              </xdr:sp>
              <xdr:sp macro="" textlink="$M$12">
                <xdr:nvSpPr>
                  <xdr:cNvPr id="647" name="Rectángulo 646">
                    <a:extLst>
                      <a:ext uri="{FF2B5EF4-FFF2-40B4-BE49-F238E27FC236}">
                        <a16:creationId xmlns:a16="http://schemas.microsoft.com/office/drawing/2014/main" id="{00000000-0008-0000-0900-000087020000}"/>
                      </a:ext>
                    </a:extLst>
                  </xdr:cNvPr>
                  <xdr:cNvSpPr/>
                </xdr:nvSpPr>
                <xdr:spPr>
                  <a:xfrm>
                    <a:off x="18327321" y="1385842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C73458D-43D5-41BA-8EF0-548C95A8170C}"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648" name="CuadroTexto 647">
                    <a:extLst>
                      <a:ext uri="{FF2B5EF4-FFF2-40B4-BE49-F238E27FC236}">
                        <a16:creationId xmlns:a16="http://schemas.microsoft.com/office/drawing/2014/main" id="{00000000-0008-0000-0900-000088020000}"/>
                      </a:ext>
                    </a:extLst>
                  </xdr:cNvPr>
                  <xdr:cNvSpPr txBox="1"/>
                </xdr:nvSpPr>
                <xdr:spPr>
                  <a:xfrm>
                    <a:off x="17993329" y="13851723"/>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78" name="Grupo 577">
                <a:extLst>
                  <a:ext uri="{FF2B5EF4-FFF2-40B4-BE49-F238E27FC236}">
                    <a16:creationId xmlns:a16="http://schemas.microsoft.com/office/drawing/2014/main" id="{00000000-0008-0000-0900-000042020000}"/>
                  </a:ext>
                </a:extLst>
              </xdr:cNvPr>
              <xdr:cNvGrpSpPr/>
            </xdr:nvGrpSpPr>
            <xdr:grpSpPr>
              <a:xfrm>
                <a:off x="30253785" y="12139226"/>
                <a:ext cx="2143037" cy="786192"/>
                <a:chOff x="18649578" y="13258030"/>
                <a:chExt cx="2140161" cy="771849"/>
              </a:xfrm>
            </xdr:grpSpPr>
            <xdr:grpSp>
              <xdr:nvGrpSpPr>
                <xdr:cNvPr id="636" name="Grupo 635">
                  <a:extLst>
                    <a:ext uri="{FF2B5EF4-FFF2-40B4-BE49-F238E27FC236}">
                      <a16:creationId xmlns:a16="http://schemas.microsoft.com/office/drawing/2014/main" id="{00000000-0008-0000-0900-00007C020000}"/>
                    </a:ext>
                  </a:extLst>
                </xdr:cNvPr>
                <xdr:cNvGrpSpPr/>
              </xdr:nvGrpSpPr>
              <xdr:grpSpPr>
                <a:xfrm>
                  <a:off x="18649578" y="13258030"/>
                  <a:ext cx="2140161" cy="732326"/>
                  <a:chOff x="28670251" y="2081892"/>
                  <a:chExt cx="2025093" cy="585107"/>
                </a:xfrm>
              </xdr:grpSpPr>
              <xdr:sp macro="" textlink="">
                <xdr:nvSpPr>
                  <xdr:cNvPr id="641" name="Cheurón 640">
                    <a:extLst>
                      <a:ext uri="{FF2B5EF4-FFF2-40B4-BE49-F238E27FC236}">
                        <a16:creationId xmlns:a16="http://schemas.microsoft.com/office/drawing/2014/main" id="{00000000-0008-0000-0900-000081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42" name="CuadroTexto 641">
                    <a:extLst>
                      <a:ext uri="{FF2B5EF4-FFF2-40B4-BE49-F238E27FC236}">
                        <a16:creationId xmlns:a16="http://schemas.microsoft.com/office/drawing/2014/main" id="{00000000-0008-0000-0900-000082020000}"/>
                      </a:ext>
                    </a:extLst>
                  </xdr:cNvPr>
                  <xdr:cNvSpPr txBox="1"/>
                </xdr:nvSpPr>
                <xdr:spPr>
                  <a:xfrm>
                    <a:off x="28759318" y="2166613"/>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T$13">
                <xdr:nvSpPr>
                  <xdr:cNvPr id="643" name="Rectángulo redondeado 642">
                    <a:extLst>
                      <a:ext uri="{FF2B5EF4-FFF2-40B4-BE49-F238E27FC236}">
                        <a16:creationId xmlns:a16="http://schemas.microsoft.com/office/drawing/2014/main" id="{00000000-0008-0000-0900-000083020000}"/>
                      </a:ext>
                    </a:extLst>
                  </xdr:cNvPr>
                  <xdr:cNvSpPr/>
                </xdr:nvSpPr>
                <xdr:spPr>
                  <a:xfrm>
                    <a:off x="29810881" y="2176914"/>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08E5CBE-81A8-4547-9F47-38F99F12EDEA}"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37" name="Grupo 636">
                  <a:extLst>
                    <a:ext uri="{FF2B5EF4-FFF2-40B4-BE49-F238E27FC236}">
                      <a16:creationId xmlns:a16="http://schemas.microsoft.com/office/drawing/2014/main" id="{00000000-0008-0000-0900-00007D020000}"/>
                    </a:ext>
                  </a:extLst>
                </xdr:cNvPr>
                <xdr:cNvGrpSpPr/>
              </xdr:nvGrpSpPr>
              <xdr:grpSpPr>
                <a:xfrm>
                  <a:off x="19802083" y="13747311"/>
                  <a:ext cx="825525" cy="282568"/>
                  <a:chOff x="19905991" y="13859878"/>
                  <a:chExt cx="825525" cy="282568"/>
                </a:xfrm>
              </xdr:grpSpPr>
              <xdr:sp macro="" textlink="">
                <xdr:nvSpPr>
                  <xdr:cNvPr id="638" name="CuadroTexto 637">
                    <a:extLst>
                      <a:ext uri="{FF2B5EF4-FFF2-40B4-BE49-F238E27FC236}">
                        <a16:creationId xmlns:a16="http://schemas.microsoft.com/office/drawing/2014/main" id="{00000000-0008-0000-0900-00007E020000}"/>
                      </a:ext>
                    </a:extLst>
                  </xdr:cNvPr>
                  <xdr:cNvSpPr txBox="1"/>
                </xdr:nvSpPr>
                <xdr:spPr>
                  <a:xfrm>
                    <a:off x="19905991" y="1385987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13">
                <xdr:nvSpPr>
                  <xdr:cNvPr id="639" name="Rectángulo 638">
                    <a:extLst>
                      <a:ext uri="{FF2B5EF4-FFF2-40B4-BE49-F238E27FC236}">
                        <a16:creationId xmlns:a16="http://schemas.microsoft.com/office/drawing/2014/main" id="{00000000-0008-0000-0900-00007F020000}"/>
                      </a:ext>
                    </a:extLst>
                  </xdr:cNvPr>
                  <xdr:cNvSpPr/>
                </xdr:nvSpPr>
                <xdr:spPr>
                  <a:xfrm>
                    <a:off x="19958696" y="1386659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02A485B-1E5E-4062-B681-7068C951B479}" type="TxLink">
                      <a:rPr lang="en-US" sz="1100" b="1" i="0" u="none" strike="noStrike">
                        <a:solidFill>
                          <a:srgbClr val="FFFF00"/>
                        </a:solidFill>
                        <a:latin typeface="Century Gothic"/>
                      </a:rPr>
                      <a:pPr algn="ctr"/>
                      <a:t>0</a:t>
                    </a:fld>
                    <a:endParaRPr lang="es-CO" sz="1100" b="1" i="0">
                      <a:solidFill>
                        <a:srgbClr val="FFFF00"/>
                      </a:solidFill>
                    </a:endParaRPr>
                  </a:p>
                </xdr:txBody>
              </xdr:sp>
              <xdr:sp macro="" textlink="$M$13">
                <xdr:nvSpPr>
                  <xdr:cNvPr id="640" name="Rectángulo 639">
                    <a:extLst>
                      <a:ext uri="{FF2B5EF4-FFF2-40B4-BE49-F238E27FC236}">
                        <a16:creationId xmlns:a16="http://schemas.microsoft.com/office/drawing/2014/main" id="{00000000-0008-0000-0900-000080020000}"/>
                      </a:ext>
                    </a:extLst>
                  </xdr:cNvPr>
                  <xdr:cNvSpPr/>
                </xdr:nvSpPr>
                <xdr:spPr>
                  <a:xfrm>
                    <a:off x="20253351" y="1386659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B910BD1-3A60-4B2E-A7D6-5B871B9D3A7E}" type="TxLink">
                      <a:rPr lang="en-US" sz="1100" b="1" i="0" u="none" strike="noStrike">
                        <a:solidFill>
                          <a:srgbClr val="FFFF00"/>
                        </a:solidFill>
                        <a:latin typeface="Century Gothic"/>
                      </a:rPr>
                      <a:pPr algn="ctr"/>
                      <a:t>19</a:t>
                    </a:fld>
                    <a:endParaRPr lang="es-CO" sz="1100" b="1">
                      <a:solidFill>
                        <a:srgbClr val="FFFF00"/>
                      </a:solidFill>
                    </a:endParaRPr>
                  </a:p>
                </xdr:txBody>
              </xdr:sp>
            </xdr:grpSp>
          </xdr:grpSp>
          <xdr:grpSp>
            <xdr:nvGrpSpPr>
              <xdr:cNvPr id="579" name="Grupo 578">
                <a:extLst>
                  <a:ext uri="{FF2B5EF4-FFF2-40B4-BE49-F238E27FC236}">
                    <a16:creationId xmlns:a16="http://schemas.microsoft.com/office/drawing/2014/main" id="{00000000-0008-0000-0900-000043020000}"/>
                  </a:ext>
                </a:extLst>
              </xdr:cNvPr>
              <xdr:cNvGrpSpPr/>
            </xdr:nvGrpSpPr>
            <xdr:grpSpPr>
              <a:xfrm>
                <a:off x="23578289" y="12144874"/>
                <a:ext cx="720000" cy="1566463"/>
                <a:chOff x="27404782" y="8354785"/>
                <a:chExt cx="720020" cy="1512000"/>
              </a:xfrm>
            </xdr:grpSpPr>
            <xdr:sp macro="" textlink="">
              <xdr:nvSpPr>
                <xdr:cNvPr id="634" name="Rectángulo 633">
                  <a:extLst>
                    <a:ext uri="{FF2B5EF4-FFF2-40B4-BE49-F238E27FC236}">
                      <a16:creationId xmlns:a16="http://schemas.microsoft.com/office/drawing/2014/main" id="{00000000-0008-0000-0900-00007A020000}"/>
                    </a:ext>
                  </a:extLst>
                </xdr:cNvPr>
                <xdr:cNvSpPr/>
              </xdr:nvSpPr>
              <xdr:spPr>
                <a:xfrm>
                  <a:off x="27404782" y="8354785"/>
                  <a:ext cx="72002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35" name="CuadroTexto 634">
                  <a:extLst>
                    <a:ext uri="{FF2B5EF4-FFF2-40B4-BE49-F238E27FC236}">
                      <a16:creationId xmlns:a16="http://schemas.microsoft.com/office/drawing/2014/main" id="{00000000-0008-0000-0900-00007B020000}"/>
                    </a:ext>
                  </a:extLst>
                </xdr:cNvPr>
                <xdr:cNvSpPr txBox="1"/>
              </xdr:nvSpPr>
              <xdr:spPr>
                <a:xfrm rot="16200000">
                  <a:off x="27171952"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580" name="Grupo 579">
                <a:extLst>
                  <a:ext uri="{FF2B5EF4-FFF2-40B4-BE49-F238E27FC236}">
                    <a16:creationId xmlns:a16="http://schemas.microsoft.com/office/drawing/2014/main" id="{00000000-0008-0000-0900-000044020000}"/>
                  </a:ext>
                </a:extLst>
              </xdr:cNvPr>
              <xdr:cNvGrpSpPr/>
            </xdr:nvGrpSpPr>
            <xdr:grpSpPr>
              <a:xfrm>
                <a:off x="32161504" y="12142045"/>
                <a:ext cx="2159945" cy="786017"/>
                <a:chOff x="20554737" y="13260800"/>
                <a:chExt cx="2157047" cy="771677"/>
              </a:xfrm>
            </xdr:grpSpPr>
            <xdr:grpSp>
              <xdr:nvGrpSpPr>
                <xdr:cNvPr id="626" name="Grupo 625">
                  <a:extLst>
                    <a:ext uri="{FF2B5EF4-FFF2-40B4-BE49-F238E27FC236}">
                      <a16:creationId xmlns:a16="http://schemas.microsoft.com/office/drawing/2014/main" id="{00000000-0008-0000-0900-000072020000}"/>
                    </a:ext>
                  </a:extLst>
                </xdr:cNvPr>
                <xdr:cNvGrpSpPr/>
              </xdr:nvGrpSpPr>
              <xdr:grpSpPr>
                <a:xfrm>
                  <a:off x="20554737" y="13260800"/>
                  <a:ext cx="2157047" cy="732326"/>
                  <a:chOff x="28670251" y="2081892"/>
                  <a:chExt cx="2000250" cy="585107"/>
                </a:xfrm>
              </xdr:grpSpPr>
              <xdr:sp macro="" textlink="">
                <xdr:nvSpPr>
                  <xdr:cNvPr id="631" name="Cheurón 630">
                    <a:extLst>
                      <a:ext uri="{FF2B5EF4-FFF2-40B4-BE49-F238E27FC236}">
                        <a16:creationId xmlns:a16="http://schemas.microsoft.com/office/drawing/2014/main" id="{00000000-0008-0000-0900-000077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32" name="CuadroTexto 631">
                    <a:extLst>
                      <a:ext uri="{FF2B5EF4-FFF2-40B4-BE49-F238E27FC236}">
                        <a16:creationId xmlns:a16="http://schemas.microsoft.com/office/drawing/2014/main" id="{00000000-0008-0000-0900-000078020000}"/>
                      </a:ext>
                    </a:extLst>
                  </xdr:cNvPr>
                  <xdr:cNvSpPr txBox="1"/>
                </xdr:nvSpPr>
                <xdr:spPr>
                  <a:xfrm>
                    <a:off x="28869718" y="2159695"/>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T$14">
                <xdr:nvSpPr>
                  <xdr:cNvPr id="633" name="Rectángulo redondeado 632">
                    <a:extLst>
                      <a:ext uri="{FF2B5EF4-FFF2-40B4-BE49-F238E27FC236}">
                        <a16:creationId xmlns:a16="http://schemas.microsoft.com/office/drawing/2014/main" id="{00000000-0008-0000-0900-000079020000}"/>
                      </a:ext>
                    </a:extLst>
                  </xdr:cNvPr>
                  <xdr:cNvSpPr/>
                </xdr:nvSpPr>
                <xdr:spPr>
                  <a:xfrm>
                    <a:off x="29786518" y="216585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A714050-328B-4538-BBC6-A8A7BF61D909}" type="TxLink">
                      <a:rPr lang="en-US" sz="1600" b="1" i="0" u="none" strike="noStrike">
                        <a:solidFill>
                          <a:srgbClr val="FFFF00"/>
                        </a:solidFill>
                        <a:latin typeface="Century Gothic"/>
                      </a:rPr>
                      <a:pPr algn="ctr"/>
                      <a:t>57,9%</a:t>
                    </a:fld>
                    <a:endParaRPr lang="es-CO" sz="3600">
                      <a:solidFill>
                        <a:srgbClr val="FFFF00"/>
                      </a:solidFill>
                    </a:endParaRPr>
                  </a:p>
                </xdr:txBody>
              </xdr:sp>
            </xdr:grpSp>
            <xdr:grpSp>
              <xdr:nvGrpSpPr>
                <xdr:cNvPr id="627" name="Grupo 626">
                  <a:extLst>
                    <a:ext uri="{FF2B5EF4-FFF2-40B4-BE49-F238E27FC236}">
                      <a16:creationId xmlns:a16="http://schemas.microsoft.com/office/drawing/2014/main" id="{00000000-0008-0000-0900-000073020000}"/>
                    </a:ext>
                  </a:extLst>
                </xdr:cNvPr>
                <xdr:cNvGrpSpPr/>
              </xdr:nvGrpSpPr>
              <xdr:grpSpPr>
                <a:xfrm>
                  <a:off x="21720933" y="13741259"/>
                  <a:ext cx="825525" cy="291218"/>
                  <a:chOff x="21772887" y="13853826"/>
                  <a:chExt cx="825525" cy="291218"/>
                </a:xfrm>
              </xdr:grpSpPr>
              <xdr:sp macro="" textlink="">
                <xdr:nvSpPr>
                  <xdr:cNvPr id="628" name="CuadroTexto 627">
                    <a:extLst>
                      <a:ext uri="{FF2B5EF4-FFF2-40B4-BE49-F238E27FC236}">
                        <a16:creationId xmlns:a16="http://schemas.microsoft.com/office/drawing/2014/main" id="{00000000-0008-0000-0900-000074020000}"/>
                      </a:ext>
                    </a:extLst>
                  </xdr:cNvPr>
                  <xdr:cNvSpPr txBox="1"/>
                </xdr:nvSpPr>
                <xdr:spPr>
                  <a:xfrm>
                    <a:off x="21772887" y="13853826"/>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14">
                <xdr:nvSpPr>
                  <xdr:cNvPr id="629" name="Rectángulo 628">
                    <a:extLst>
                      <a:ext uri="{FF2B5EF4-FFF2-40B4-BE49-F238E27FC236}">
                        <a16:creationId xmlns:a16="http://schemas.microsoft.com/office/drawing/2014/main" id="{00000000-0008-0000-0900-000075020000}"/>
                      </a:ext>
                    </a:extLst>
                  </xdr:cNvPr>
                  <xdr:cNvSpPr/>
                </xdr:nvSpPr>
                <xdr:spPr>
                  <a:xfrm>
                    <a:off x="21834251" y="13869190"/>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E576DE-0EB3-44A6-B83C-4325F419319B}" type="TxLink">
                      <a:rPr lang="en-US" sz="1100" b="1" i="0" u="none" strike="noStrike">
                        <a:solidFill>
                          <a:srgbClr val="FFFF00"/>
                        </a:solidFill>
                        <a:latin typeface="Century Gothic"/>
                      </a:rPr>
                      <a:pPr algn="ctr"/>
                      <a:t>11</a:t>
                    </a:fld>
                    <a:endParaRPr lang="es-CO" sz="1100" b="1">
                      <a:solidFill>
                        <a:srgbClr val="FFFF00"/>
                      </a:solidFill>
                    </a:endParaRPr>
                  </a:p>
                </xdr:txBody>
              </xdr:sp>
              <xdr:sp macro="" textlink="$M$14">
                <xdr:nvSpPr>
                  <xdr:cNvPr id="630" name="Rectángulo 629">
                    <a:extLst>
                      <a:ext uri="{FF2B5EF4-FFF2-40B4-BE49-F238E27FC236}">
                        <a16:creationId xmlns:a16="http://schemas.microsoft.com/office/drawing/2014/main" id="{00000000-0008-0000-0900-000076020000}"/>
                      </a:ext>
                    </a:extLst>
                  </xdr:cNvPr>
                  <xdr:cNvSpPr/>
                </xdr:nvSpPr>
                <xdr:spPr>
                  <a:xfrm>
                    <a:off x="22128906" y="1386919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1AF30FF-A0A8-4972-AD61-F952E276289D}" type="TxLink">
                      <a:rPr lang="en-US" sz="1100" b="1" i="0" u="none" strike="noStrike">
                        <a:solidFill>
                          <a:srgbClr val="FFFF00"/>
                        </a:solidFill>
                        <a:latin typeface="Century Gothic"/>
                      </a:rPr>
                      <a:pPr algn="ctr"/>
                      <a:t>19</a:t>
                    </a:fld>
                    <a:endParaRPr lang="es-CO" sz="1100" b="1">
                      <a:solidFill>
                        <a:srgbClr val="FFFF00"/>
                      </a:solidFill>
                    </a:endParaRPr>
                  </a:p>
                </xdr:txBody>
              </xdr:sp>
            </xdr:grpSp>
          </xdr:grpSp>
          <xdr:grpSp>
            <xdr:nvGrpSpPr>
              <xdr:cNvPr id="581" name="Grupo 580">
                <a:extLst>
                  <a:ext uri="{FF2B5EF4-FFF2-40B4-BE49-F238E27FC236}">
                    <a16:creationId xmlns:a16="http://schemas.microsoft.com/office/drawing/2014/main" id="{00000000-0008-0000-0900-000045020000}"/>
                  </a:ext>
                </a:extLst>
              </xdr:cNvPr>
              <xdr:cNvGrpSpPr/>
            </xdr:nvGrpSpPr>
            <xdr:grpSpPr>
              <a:xfrm>
                <a:off x="24438287" y="12951276"/>
                <a:ext cx="2159944" cy="745937"/>
                <a:chOff x="12841883" y="14055217"/>
                <a:chExt cx="2157046" cy="732326"/>
              </a:xfrm>
            </xdr:grpSpPr>
            <xdr:grpSp>
              <xdr:nvGrpSpPr>
                <xdr:cNvPr id="618" name="Grupo 617">
                  <a:extLst>
                    <a:ext uri="{FF2B5EF4-FFF2-40B4-BE49-F238E27FC236}">
                      <a16:creationId xmlns:a16="http://schemas.microsoft.com/office/drawing/2014/main" id="{00000000-0008-0000-0900-00006A020000}"/>
                    </a:ext>
                  </a:extLst>
                </xdr:cNvPr>
                <xdr:cNvGrpSpPr/>
              </xdr:nvGrpSpPr>
              <xdr:grpSpPr>
                <a:xfrm>
                  <a:off x="12841883" y="14055217"/>
                  <a:ext cx="2157046" cy="732326"/>
                  <a:chOff x="28670251" y="2081892"/>
                  <a:chExt cx="2000250" cy="585107"/>
                </a:xfrm>
              </xdr:grpSpPr>
              <xdr:sp macro="" textlink="">
                <xdr:nvSpPr>
                  <xdr:cNvPr id="623" name="Cheurón 622">
                    <a:extLst>
                      <a:ext uri="{FF2B5EF4-FFF2-40B4-BE49-F238E27FC236}">
                        <a16:creationId xmlns:a16="http://schemas.microsoft.com/office/drawing/2014/main" id="{00000000-0008-0000-0900-00006F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24" name="CuadroTexto 623">
                    <a:extLst>
                      <a:ext uri="{FF2B5EF4-FFF2-40B4-BE49-F238E27FC236}">
                        <a16:creationId xmlns:a16="http://schemas.microsoft.com/office/drawing/2014/main" id="{00000000-0008-0000-0900-000070020000}"/>
                      </a:ext>
                    </a:extLst>
                  </xdr:cNvPr>
                  <xdr:cNvSpPr txBox="1"/>
                </xdr:nvSpPr>
                <xdr:spPr>
                  <a:xfrm>
                    <a:off x="28871628" y="2122198"/>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T$15">
                <xdr:nvSpPr>
                  <xdr:cNvPr id="625" name="Rectángulo redondeado 624">
                    <a:extLst>
                      <a:ext uri="{FF2B5EF4-FFF2-40B4-BE49-F238E27FC236}">
                        <a16:creationId xmlns:a16="http://schemas.microsoft.com/office/drawing/2014/main" id="{00000000-0008-0000-0900-000071020000}"/>
                      </a:ext>
                    </a:extLst>
                  </xdr:cNvPr>
                  <xdr:cNvSpPr/>
                </xdr:nvSpPr>
                <xdr:spPr>
                  <a:xfrm>
                    <a:off x="297865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738CDDF-BED5-4912-A878-CE80AA956A33}"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19" name="Grupo 618">
                  <a:extLst>
                    <a:ext uri="{FF2B5EF4-FFF2-40B4-BE49-F238E27FC236}">
                      <a16:creationId xmlns:a16="http://schemas.microsoft.com/office/drawing/2014/main" id="{00000000-0008-0000-0900-00006B020000}"/>
                    </a:ext>
                  </a:extLst>
                </xdr:cNvPr>
                <xdr:cNvGrpSpPr/>
              </xdr:nvGrpSpPr>
              <xdr:grpSpPr>
                <a:xfrm>
                  <a:off x="14016091" y="14508357"/>
                  <a:ext cx="828000" cy="275854"/>
                  <a:chOff x="14016091" y="14799434"/>
                  <a:chExt cx="828000" cy="275854"/>
                </a:xfrm>
              </xdr:grpSpPr>
              <xdr:sp macro="" textlink="$N$15">
                <xdr:nvSpPr>
                  <xdr:cNvPr id="620" name="Rectángulo 619">
                    <a:extLst>
                      <a:ext uri="{FF2B5EF4-FFF2-40B4-BE49-F238E27FC236}">
                        <a16:creationId xmlns:a16="http://schemas.microsoft.com/office/drawing/2014/main" id="{00000000-0008-0000-0900-00006C020000}"/>
                      </a:ext>
                    </a:extLst>
                  </xdr:cNvPr>
                  <xdr:cNvSpPr/>
                </xdr:nvSpPr>
                <xdr:spPr>
                  <a:xfrm>
                    <a:off x="14055428" y="1479943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504BC7E-0969-4D73-9017-F9E16D5A696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15">
                <xdr:nvSpPr>
                  <xdr:cNvPr id="621" name="Rectángulo 620">
                    <a:extLst>
                      <a:ext uri="{FF2B5EF4-FFF2-40B4-BE49-F238E27FC236}">
                        <a16:creationId xmlns:a16="http://schemas.microsoft.com/office/drawing/2014/main" id="{00000000-0008-0000-0900-00006D020000}"/>
                      </a:ext>
                    </a:extLst>
                  </xdr:cNvPr>
                  <xdr:cNvSpPr/>
                </xdr:nvSpPr>
                <xdr:spPr>
                  <a:xfrm>
                    <a:off x="14350083" y="1479943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FCE1103-76F5-4769-B68E-2D843E16EC0E}"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622" name="CuadroTexto 621">
                    <a:extLst>
                      <a:ext uri="{FF2B5EF4-FFF2-40B4-BE49-F238E27FC236}">
                        <a16:creationId xmlns:a16="http://schemas.microsoft.com/office/drawing/2014/main" id="{00000000-0008-0000-0900-00006E020000}"/>
                      </a:ext>
                    </a:extLst>
                  </xdr:cNvPr>
                  <xdr:cNvSpPr txBox="1"/>
                </xdr:nvSpPr>
                <xdr:spPr>
                  <a:xfrm>
                    <a:off x="14016091" y="14801361"/>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2" name="Grupo 581">
                <a:extLst>
                  <a:ext uri="{FF2B5EF4-FFF2-40B4-BE49-F238E27FC236}">
                    <a16:creationId xmlns:a16="http://schemas.microsoft.com/office/drawing/2014/main" id="{00000000-0008-0000-0900-000046020000}"/>
                  </a:ext>
                </a:extLst>
              </xdr:cNvPr>
              <xdr:cNvGrpSpPr/>
            </xdr:nvGrpSpPr>
            <xdr:grpSpPr>
              <a:xfrm>
                <a:off x="26400418" y="12954091"/>
                <a:ext cx="2182182" cy="745937"/>
                <a:chOff x="14801381" y="14057986"/>
                <a:chExt cx="2179254" cy="732326"/>
              </a:xfrm>
            </xdr:grpSpPr>
            <xdr:grpSp>
              <xdr:nvGrpSpPr>
                <xdr:cNvPr id="610" name="Grupo 609">
                  <a:extLst>
                    <a:ext uri="{FF2B5EF4-FFF2-40B4-BE49-F238E27FC236}">
                      <a16:creationId xmlns:a16="http://schemas.microsoft.com/office/drawing/2014/main" id="{00000000-0008-0000-0900-000062020000}"/>
                    </a:ext>
                  </a:extLst>
                </xdr:cNvPr>
                <xdr:cNvGrpSpPr/>
              </xdr:nvGrpSpPr>
              <xdr:grpSpPr>
                <a:xfrm>
                  <a:off x="14801381" y="14057986"/>
                  <a:ext cx="2179254" cy="732326"/>
                  <a:chOff x="28670251" y="2081892"/>
                  <a:chExt cx="2020842" cy="585107"/>
                </a:xfrm>
              </xdr:grpSpPr>
              <xdr:sp macro="" textlink="">
                <xdr:nvSpPr>
                  <xdr:cNvPr id="615" name="Cheurón 614">
                    <a:extLst>
                      <a:ext uri="{FF2B5EF4-FFF2-40B4-BE49-F238E27FC236}">
                        <a16:creationId xmlns:a16="http://schemas.microsoft.com/office/drawing/2014/main" id="{00000000-0008-0000-0900-000067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16" name="CuadroTexto 615">
                    <a:extLst>
                      <a:ext uri="{FF2B5EF4-FFF2-40B4-BE49-F238E27FC236}">
                        <a16:creationId xmlns:a16="http://schemas.microsoft.com/office/drawing/2014/main" id="{00000000-0008-0000-0900-000068020000}"/>
                      </a:ext>
                    </a:extLst>
                  </xdr:cNvPr>
                  <xdr:cNvSpPr txBox="1"/>
                </xdr:nvSpPr>
                <xdr:spPr>
                  <a:xfrm>
                    <a:off x="28789521" y="2122198"/>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T$16">
                <xdr:nvSpPr>
                  <xdr:cNvPr id="617" name="Rectángulo redondeado 616">
                    <a:extLst>
                      <a:ext uri="{FF2B5EF4-FFF2-40B4-BE49-F238E27FC236}">
                        <a16:creationId xmlns:a16="http://schemas.microsoft.com/office/drawing/2014/main" id="{00000000-0008-0000-0900-000069020000}"/>
                      </a:ext>
                    </a:extLst>
                  </xdr:cNvPr>
                  <xdr:cNvSpPr/>
                </xdr:nvSpPr>
                <xdr:spPr>
                  <a:xfrm>
                    <a:off x="29824320"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4D5F1E-0492-4767-8DD0-37305CC67C30}" type="TxLink">
                      <a:rPr lang="en-US" sz="1600" b="1" i="0" u="none" strike="noStrike">
                        <a:solidFill>
                          <a:srgbClr val="FFFF00"/>
                        </a:solidFill>
                        <a:latin typeface="Century Gothic"/>
                      </a:rPr>
                      <a:pPr algn="ctr"/>
                      <a:t>37,5%</a:t>
                    </a:fld>
                    <a:endParaRPr lang="es-CO" sz="3600">
                      <a:solidFill>
                        <a:srgbClr val="FFFF00"/>
                      </a:solidFill>
                    </a:endParaRPr>
                  </a:p>
                </xdr:txBody>
              </xdr:sp>
            </xdr:grpSp>
            <xdr:grpSp>
              <xdr:nvGrpSpPr>
                <xdr:cNvPr id="611" name="Grupo 610">
                  <a:extLst>
                    <a:ext uri="{FF2B5EF4-FFF2-40B4-BE49-F238E27FC236}">
                      <a16:creationId xmlns:a16="http://schemas.microsoft.com/office/drawing/2014/main" id="{00000000-0008-0000-0900-000063020000}"/>
                    </a:ext>
                  </a:extLst>
                </xdr:cNvPr>
                <xdr:cNvGrpSpPr/>
              </xdr:nvGrpSpPr>
              <xdr:grpSpPr>
                <a:xfrm>
                  <a:off x="16010400" y="14508357"/>
                  <a:ext cx="828000" cy="275854"/>
                  <a:chOff x="16010400" y="14650231"/>
                  <a:chExt cx="828000" cy="275854"/>
                </a:xfrm>
              </xdr:grpSpPr>
              <xdr:sp macro="" textlink="$N$16">
                <xdr:nvSpPr>
                  <xdr:cNvPr id="612" name="Rectángulo 611">
                    <a:extLst>
                      <a:ext uri="{FF2B5EF4-FFF2-40B4-BE49-F238E27FC236}">
                        <a16:creationId xmlns:a16="http://schemas.microsoft.com/office/drawing/2014/main" id="{00000000-0008-0000-0900-000064020000}"/>
                      </a:ext>
                    </a:extLst>
                  </xdr:cNvPr>
                  <xdr:cNvSpPr/>
                </xdr:nvSpPr>
                <xdr:spPr>
                  <a:xfrm>
                    <a:off x="16067055" y="1465023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595C89-9D5D-452A-A7C7-68C20A797CBB}"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M$16">
                <xdr:nvSpPr>
                  <xdr:cNvPr id="613" name="Rectángulo 612">
                    <a:extLst>
                      <a:ext uri="{FF2B5EF4-FFF2-40B4-BE49-F238E27FC236}">
                        <a16:creationId xmlns:a16="http://schemas.microsoft.com/office/drawing/2014/main" id="{00000000-0008-0000-0900-000065020000}"/>
                      </a:ext>
                    </a:extLst>
                  </xdr:cNvPr>
                  <xdr:cNvSpPr/>
                </xdr:nvSpPr>
                <xdr:spPr>
                  <a:xfrm>
                    <a:off x="16353051" y="1465023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3598190-7335-4BFC-ACB5-3B6531D7BE00}" type="TxLink">
                      <a:rPr lang="en-US" sz="1100" b="1" i="0" u="none" strike="noStrike">
                        <a:solidFill>
                          <a:srgbClr val="FFFF00"/>
                        </a:solidFill>
                        <a:latin typeface="Century Gothic"/>
                      </a:rPr>
                      <a:pPr algn="ctr"/>
                      <a:t>16</a:t>
                    </a:fld>
                    <a:endParaRPr lang="es-CO" sz="1100" b="1">
                      <a:solidFill>
                        <a:srgbClr val="FFFF00"/>
                      </a:solidFill>
                    </a:endParaRPr>
                  </a:p>
                </xdr:txBody>
              </xdr:sp>
              <xdr:sp macro="" textlink="">
                <xdr:nvSpPr>
                  <xdr:cNvPr id="614" name="CuadroTexto 613">
                    <a:extLst>
                      <a:ext uri="{FF2B5EF4-FFF2-40B4-BE49-F238E27FC236}">
                        <a16:creationId xmlns:a16="http://schemas.microsoft.com/office/drawing/2014/main" id="{00000000-0008-0000-0900-000066020000}"/>
                      </a:ext>
                    </a:extLst>
                  </xdr:cNvPr>
                  <xdr:cNvSpPr txBox="1"/>
                </xdr:nvSpPr>
                <xdr:spPr>
                  <a:xfrm>
                    <a:off x="16010400" y="14652161"/>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3" name="Grupo 582">
                <a:extLst>
                  <a:ext uri="{FF2B5EF4-FFF2-40B4-BE49-F238E27FC236}">
                    <a16:creationId xmlns:a16="http://schemas.microsoft.com/office/drawing/2014/main" id="{00000000-0008-0000-0900-000047020000}"/>
                  </a:ext>
                </a:extLst>
              </xdr:cNvPr>
              <xdr:cNvGrpSpPr/>
            </xdr:nvGrpSpPr>
            <xdr:grpSpPr>
              <a:xfrm>
                <a:off x="28348857" y="12942813"/>
                <a:ext cx="2195786" cy="750998"/>
                <a:chOff x="16747206" y="14046916"/>
                <a:chExt cx="2192840" cy="737295"/>
              </a:xfrm>
            </xdr:grpSpPr>
            <xdr:grpSp>
              <xdr:nvGrpSpPr>
                <xdr:cNvPr id="602" name="Grupo 601">
                  <a:extLst>
                    <a:ext uri="{FF2B5EF4-FFF2-40B4-BE49-F238E27FC236}">
                      <a16:creationId xmlns:a16="http://schemas.microsoft.com/office/drawing/2014/main" id="{00000000-0008-0000-0900-00005A020000}"/>
                    </a:ext>
                  </a:extLst>
                </xdr:cNvPr>
                <xdr:cNvGrpSpPr/>
              </xdr:nvGrpSpPr>
              <xdr:grpSpPr>
                <a:xfrm>
                  <a:off x="16747206" y="14046916"/>
                  <a:ext cx="2192840" cy="732326"/>
                  <a:chOff x="28670251" y="2081892"/>
                  <a:chExt cx="2033443" cy="585107"/>
                </a:xfrm>
              </xdr:grpSpPr>
              <xdr:sp macro="" textlink="">
                <xdr:nvSpPr>
                  <xdr:cNvPr id="607" name="Cheurón 606">
                    <a:extLst>
                      <a:ext uri="{FF2B5EF4-FFF2-40B4-BE49-F238E27FC236}">
                        <a16:creationId xmlns:a16="http://schemas.microsoft.com/office/drawing/2014/main" id="{00000000-0008-0000-0900-00005F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08" name="CuadroTexto 607">
                    <a:extLst>
                      <a:ext uri="{FF2B5EF4-FFF2-40B4-BE49-F238E27FC236}">
                        <a16:creationId xmlns:a16="http://schemas.microsoft.com/office/drawing/2014/main" id="{00000000-0008-0000-0900-000060020000}"/>
                      </a:ext>
                    </a:extLst>
                  </xdr:cNvPr>
                  <xdr:cNvSpPr txBox="1"/>
                </xdr:nvSpPr>
                <xdr:spPr>
                  <a:xfrm>
                    <a:off x="28782494" y="2119420"/>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T$17">
                <xdr:nvSpPr>
                  <xdr:cNvPr id="609" name="Rectángulo redondeado 608">
                    <a:extLst>
                      <a:ext uri="{FF2B5EF4-FFF2-40B4-BE49-F238E27FC236}">
                        <a16:creationId xmlns:a16="http://schemas.microsoft.com/office/drawing/2014/main" id="{00000000-0008-0000-0900-000061020000}"/>
                      </a:ext>
                    </a:extLst>
                  </xdr:cNvPr>
                  <xdr:cNvSpPr/>
                </xdr:nvSpPr>
                <xdr:spPr>
                  <a:xfrm>
                    <a:off x="2983691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7E4ADDB-5C90-4A9A-91CE-63D3093A1EE0}"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03" name="Grupo 602">
                  <a:extLst>
                    <a:ext uri="{FF2B5EF4-FFF2-40B4-BE49-F238E27FC236}">
                      <a16:creationId xmlns:a16="http://schemas.microsoft.com/office/drawing/2014/main" id="{00000000-0008-0000-0900-00005B020000}"/>
                    </a:ext>
                  </a:extLst>
                </xdr:cNvPr>
                <xdr:cNvGrpSpPr/>
              </xdr:nvGrpSpPr>
              <xdr:grpSpPr>
                <a:xfrm>
                  <a:off x="17963890" y="14508357"/>
                  <a:ext cx="828000" cy="275854"/>
                  <a:chOff x="17963890" y="14651593"/>
                  <a:chExt cx="828000" cy="275854"/>
                </a:xfrm>
              </xdr:grpSpPr>
              <xdr:sp macro="" textlink="$N$17">
                <xdr:nvSpPr>
                  <xdr:cNvPr id="604" name="Rectángulo 603">
                    <a:extLst>
                      <a:ext uri="{FF2B5EF4-FFF2-40B4-BE49-F238E27FC236}">
                        <a16:creationId xmlns:a16="http://schemas.microsoft.com/office/drawing/2014/main" id="{00000000-0008-0000-0900-00005C020000}"/>
                      </a:ext>
                    </a:extLst>
                  </xdr:cNvPr>
                  <xdr:cNvSpPr/>
                </xdr:nvSpPr>
                <xdr:spPr>
                  <a:xfrm>
                    <a:off x="18029204" y="1465159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598BA12-F9DC-45BB-BF35-C7713EBC714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17">
                <xdr:nvSpPr>
                  <xdr:cNvPr id="605" name="Rectángulo 604">
                    <a:extLst>
                      <a:ext uri="{FF2B5EF4-FFF2-40B4-BE49-F238E27FC236}">
                        <a16:creationId xmlns:a16="http://schemas.microsoft.com/office/drawing/2014/main" id="{00000000-0008-0000-0900-00005D020000}"/>
                      </a:ext>
                    </a:extLst>
                  </xdr:cNvPr>
                  <xdr:cNvSpPr/>
                </xdr:nvSpPr>
                <xdr:spPr>
                  <a:xfrm>
                    <a:off x="18315200" y="1465159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778D54E-8D64-4BF8-9D71-1EF64720B4FE}" type="TxLink">
                      <a:rPr lang="en-US" sz="1100" b="1" i="0" u="none" strike="noStrike">
                        <a:solidFill>
                          <a:srgbClr val="FFFF00"/>
                        </a:solidFill>
                        <a:latin typeface="Century Gothic"/>
                      </a:rPr>
                      <a:pPr algn="ctr"/>
                      <a:t>20</a:t>
                    </a:fld>
                    <a:endParaRPr lang="es-CO" sz="1100" b="1">
                      <a:solidFill>
                        <a:srgbClr val="FFFF00"/>
                      </a:solidFill>
                    </a:endParaRPr>
                  </a:p>
                </xdr:txBody>
              </xdr:sp>
              <xdr:sp macro="" textlink="">
                <xdr:nvSpPr>
                  <xdr:cNvPr id="606" name="CuadroTexto 605">
                    <a:extLst>
                      <a:ext uri="{FF2B5EF4-FFF2-40B4-BE49-F238E27FC236}">
                        <a16:creationId xmlns:a16="http://schemas.microsoft.com/office/drawing/2014/main" id="{00000000-0008-0000-0900-00005E020000}"/>
                      </a:ext>
                    </a:extLst>
                  </xdr:cNvPr>
                  <xdr:cNvSpPr txBox="1"/>
                </xdr:nvSpPr>
                <xdr:spPr>
                  <a:xfrm>
                    <a:off x="17963890" y="14653523"/>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4" name="Grupo 583">
                <a:extLst>
                  <a:ext uri="{FF2B5EF4-FFF2-40B4-BE49-F238E27FC236}">
                    <a16:creationId xmlns:a16="http://schemas.microsoft.com/office/drawing/2014/main" id="{00000000-0008-0000-0900-000048020000}"/>
                  </a:ext>
                </a:extLst>
              </xdr:cNvPr>
              <xdr:cNvGrpSpPr/>
            </xdr:nvGrpSpPr>
            <xdr:grpSpPr>
              <a:xfrm>
                <a:off x="30297334" y="12945629"/>
                <a:ext cx="2129427" cy="748176"/>
                <a:chOff x="18693068" y="14049686"/>
                <a:chExt cx="2126570" cy="734525"/>
              </a:xfrm>
            </xdr:grpSpPr>
            <xdr:grpSp>
              <xdr:nvGrpSpPr>
                <xdr:cNvPr id="594" name="Grupo 593">
                  <a:extLst>
                    <a:ext uri="{FF2B5EF4-FFF2-40B4-BE49-F238E27FC236}">
                      <a16:creationId xmlns:a16="http://schemas.microsoft.com/office/drawing/2014/main" id="{00000000-0008-0000-0900-000052020000}"/>
                    </a:ext>
                  </a:extLst>
                </xdr:cNvPr>
                <xdr:cNvGrpSpPr/>
              </xdr:nvGrpSpPr>
              <xdr:grpSpPr>
                <a:xfrm>
                  <a:off x="18693068" y="14049686"/>
                  <a:ext cx="2126570" cy="732326"/>
                  <a:chOff x="28670251" y="2081892"/>
                  <a:chExt cx="2012232" cy="585107"/>
                </a:xfrm>
              </xdr:grpSpPr>
              <xdr:sp macro="" textlink="">
                <xdr:nvSpPr>
                  <xdr:cNvPr id="599" name="Cheurón 598">
                    <a:extLst>
                      <a:ext uri="{FF2B5EF4-FFF2-40B4-BE49-F238E27FC236}">
                        <a16:creationId xmlns:a16="http://schemas.microsoft.com/office/drawing/2014/main" id="{00000000-0008-0000-0900-000057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00" name="CuadroTexto 599">
                    <a:extLst>
                      <a:ext uri="{FF2B5EF4-FFF2-40B4-BE49-F238E27FC236}">
                        <a16:creationId xmlns:a16="http://schemas.microsoft.com/office/drawing/2014/main" id="{00000000-0008-0000-0900-000058020000}"/>
                      </a:ext>
                    </a:extLst>
                  </xdr:cNvPr>
                  <xdr:cNvSpPr txBox="1"/>
                </xdr:nvSpPr>
                <xdr:spPr>
                  <a:xfrm>
                    <a:off x="28911076" y="2122198"/>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T$18">
                <xdr:nvSpPr>
                  <xdr:cNvPr id="601" name="Rectángulo redondeado 600">
                    <a:extLst>
                      <a:ext uri="{FF2B5EF4-FFF2-40B4-BE49-F238E27FC236}">
                        <a16:creationId xmlns:a16="http://schemas.microsoft.com/office/drawing/2014/main" id="{00000000-0008-0000-0900-000059020000}"/>
                      </a:ext>
                    </a:extLst>
                  </xdr:cNvPr>
                  <xdr:cNvSpPr/>
                </xdr:nvSpPr>
                <xdr:spPr>
                  <a:xfrm>
                    <a:off x="29798021"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F8C1CF-B76A-44BC-8344-DDAFD108D86A}" type="TxLink">
                      <a:rPr lang="en-US" sz="1600" b="1" i="0" u="none" strike="noStrike">
                        <a:solidFill>
                          <a:srgbClr val="FFFF00"/>
                        </a:solidFill>
                        <a:latin typeface="Century Gothic"/>
                      </a:rPr>
                      <a:pPr algn="ctr"/>
                      <a:t>80,0%</a:t>
                    </a:fld>
                    <a:endParaRPr lang="es-CO" sz="3600">
                      <a:solidFill>
                        <a:srgbClr val="FFFF00"/>
                      </a:solidFill>
                    </a:endParaRPr>
                  </a:p>
                </xdr:txBody>
              </xdr:sp>
            </xdr:grpSp>
            <xdr:grpSp>
              <xdr:nvGrpSpPr>
                <xdr:cNvPr id="595" name="Grupo 594">
                  <a:extLst>
                    <a:ext uri="{FF2B5EF4-FFF2-40B4-BE49-F238E27FC236}">
                      <a16:creationId xmlns:a16="http://schemas.microsoft.com/office/drawing/2014/main" id="{00000000-0008-0000-0900-000053020000}"/>
                    </a:ext>
                  </a:extLst>
                </xdr:cNvPr>
                <xdr:cNvGrpSpPr/>
              </xdr:nvGrpSpPr>
              <xdr:grpSpPr>
                <a:xfrm>
                  <a:off x="19859234" y="14508357"/>
                  <a:ext cx="825525" cy="275854"/>
                  <a:chOff x="19893870" y="14659758"/>
                  <a:chExt cx="825525" cy="275854"/>
                </a:xfrm>
              </xdr:grpSpPr>
              <xdr:sp macro="" textlink="">
                <xdr:nvSpPr>
                  <xdr:cNvPr id="596" name="CuadroTexto 595">
                    <a:extLst>
                      <a:ext uri="{FF2B5EF4-FFF2-40B4-BE49-F238E27FC236}">
                        <a16:creationId xmlns:a16="http://schemas.microsoft.com/office/drawing/2014/main" id="{00000000-0008-0000-0900-000054020000}"/>
                      </a:ext>
                    </a:extLst>
                  </xdr:cNvPr>
                  <xdr:cNvSpPr txBox="1"/>
                </xdr:nvSpPr>
                <xdr:spPr>
                  <a:xfrm>
                    <a:off x="19893870" y="14661684"/>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18">
                <xdr:nvSpPr>
                  <xdr:cNvPr id="597" name="Rectángulo 596">
                    <a:extLst>
                      <a:ext uri="{FF2B5EF4-FFF2-40B4-BE49-F238E27FC236}">
                        <a16:creationId xmlns:a16="http://schemas.microsoft.com/office/drawing/2014/main" id="{00000000-0008-0000-0900-000055020000}"/>
                      </a:ext>
                    </a:extLst>
                  </xdr:cNvPr>
                  <xdr:cNvSpPr/>
                </xdr:nvSpPr>
                <xdr:spPr>
                  <a:xfrm>
                    <a:off x="19955234" y="14659758"/>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0A920E8-A348-4C0D-8A28-05C7BDEFEEA3}"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M$18">
                <xdr:nvSpPr>
                  <xdr:cNvPr id="598" name="Rectángulo 597">
                    <a:extLst>
                      <a:ext uri="{FF2B5EF4-FFF2-40B4-BE49-F238E27FC236}">
                        <a16:creationId xmlns:a16="http://schemas.microsoft.com/office/drawing/2014/main" id="{00000000-0008-0000-0900-000056020000}"/>
                      </a:ext>
                    </a:extLst>
                  </xdr:cNvPr>
                  <xdr:cNvSpPr/>
                </xdr:nvSpPr>
                <xdr:spPr>
                  <a:xfrm>
                    <a:off x="20241230" y="14659758"/>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AC15998-3702-4909-9B42-FFB51EC96986}" type="TxLink">
                      <a:rPr lang="en-US" sz="1100" b="1" i="0" u="none" strike="noStrike">
                        <a:solidFill>
                          <a:srgbClr val="FFFF00"/>
                        </a:solidFill>
                        <a:latin typeface="Century Gothic"/>
                      </a:rPr>
                      <a:pPr algn="ctr"/>
                      <a:t>5</a:t>
                    </a:fld>
                    <a:endParaRPr lang="es-CO" sz="1100" b="1">
                      <a:solidFill>
                        <a:srgbClr val="FFFF00"/>
                      </a:solidFill>
                    </a:endParaRPr>
                  </a:p>
                </xdr:txBody>
              </xdr:sp>
            </xdr:grpSp>
          </xdr:grpSp>
          <xdr:grpSp>
            <xdr:nvGrpSpPr>
              <xdr:cNvPr id="585" name="Grupo 584">
                <a:extLst>
                  <a:ext uri="{FF2B5EF4-FFF2-40B4-BE49-F238E27FC236}">
                    <a16:creationId xmlns:a16="http://schemas.microsoft.com/office/drawing/2014/main" id="{00000000-0008-0000-0900-000049020000}"/>
                  </a:ext>
                </a:extLst>
              </xdr:cNvPr>
              <xdr:cNvGrpSpPr/>
            </xdr:nvGrpSpPr>
            <xdr:grpSpPr>
              <a:xfrm>
                <a:off x="32205006" y="12948468"/>
                <a:ext cx="2116747" cy="745937"/>
                <a:chOff x="20598180" y="14052454"/>
                <a:chExt cx="2113907" cy="732326"/>
              </a:xfrm>
            </xdr:grpSpPr>
            <xdr:grpSp>
              <xdr:nvGrpSpPr>
                <xdr:cNvPr id="586" name="Grupo 585">
                  <a:extLst>
                    <a:ext uri="{FF2B5EF4-FFF2-40B4-BE49-F238E27FC236}">
                      <a16:creationId xmlns:a16="http://schemas.microsoft.com/office/drawing/2014/main" id="{00000000-0008-0000-0900-00004A020000}"/>
                    </a:ext>
                  </a:extLst>
                </xdr:cNvPr>
                <xdr:cNvGrpSpPr/>
              </xdr:nvGrpSpPr>
              <xdr:grpSpPr>
                <a:xfrm>
                  <a:off x="20598180" y="14052454"/>
                  <a:ext cx="2113907" cy="732326"/>
                  <a:chOff x="28670251" y="2081892"/>
                  <a:chExt cx="2000250" cy="585107"/>
                </a:xfrm>
              </xdr:grpSpPr>
              <xdr:sp macro="" textlink="">
                <xdr:nvSpPr>
                  <xdr:cNvPr id="591" name="Cheurón 590">
                    <a:extLst>
                      <a:ext uri="{FF2B5EF4-FFF2-40B4-BE49-F238E27FC236}">
                        <a16:creationId xmlns:a16="http://schemas.microsoft.com/office/drawing/2014/main" id="{00000000-0008-0000-0900-00004F02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92" name="CuadroTexto 591">
                    <a:extLst>
                      <a:ext uri="{FF2B5EF4-FFF2-40B4-BE49-F238E27FC236}">
                        <a16:creationId xmlns:a16="http://schemas.microsoft.com/office/drawing/2014/main" id="{00000000-0008-0000-0900-000050020000}"/>
                      </a:ext>
                    </a:extLst>
                  </xdr:cNvPr>
                  <xdr:cNvSpPr txBox="1"/>
                </xdr:nvSpPr>
                <xdr:spPr>
                  <a:xfrm>
                    <a:off x="28842462"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T$19">
                <xdr:nvSpPr>
                  <xdr:cNvPr id="593" name="Rectángulo redondeado 592">
                    <a:extLst>
                      <a:ext uri="{FF2B5EF4-FFF2-40B4-BE49-F238E27FC236}">
                        <a16:creationId xmlns:a16="http://schemas.microsoft.com/office/drawing/2014/main" id="{00000000-0008-0000-0900-000051020000}"/>
                      </a:ext>
                    </a:extLst>
                  </xdr:cNvPr>
                  <xdr:cNvSpPr/>
                </xdr:nvSpPr>
                <xdr:spPr>
                  <a:xfrm>
                    <a:off x="29808023" y="2157577"/>
                    <a:ext cx="85044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E0A60E-24BB-49CE-8278-1820C51237EF}" type="TxLink">
                      <a:rPr lang="en-US" sz="1600" b="1" i="0" u="none" strike="noStrike">
                        <a:solidFill>
                          <a:srgbClr val="FFFF00"/>
                        </a:solidFill>
                        <a:latin typeface="Century Gothic"/>
                      </a:rPr>
                      <a:pPr algn="ctr"/>
                      <a:t>25,0%</a:t>
                    </a:fld>
                    <a:endParaRPr lang="es-CO" sz="3600">
                      <a:solidFill>
                        <a:srgbClr val="FFFF00"/>
                      </a:solidFill>
                    </a:endParaRPr>
                  </a:p>
                </xdr:txBody>
              </xdr:sp>
            </xdr:grpSp>
            <xdr:grpSp>
              <xdr:nvGrpSpPr>
                <xdr:cNvPr id="587" name="Grupo 586">
                  <a:extLst>
                    <a:ext uri="{FF2B5EF4-FFF2-40B4-BE49-F238E27FC236}">
                      <a16:creationId xmlns:a16="http://schemas.microsoft.com/office/drawing/2014/main" id="{00000000-0008-0000-0900-00004B020000}"/>
                    </a:ext>
                  </a:extLst>
                </xdr:cNvPr>
                <xdr:cNvGrpSpPr/>
              </xdr:nvGrpSpPr>
              <xdr:grpSpPr>
                <a:xfrm>
                  <a:off x="21778084" y="14508357"/>
                  <a:ext cx="825525" cy="275854"/>
                  <a:chOff x="21778084" y="14662356"/>
                  <a:chExt cx="825525" cy="275854"/>
                </a:xfrm>
              </xdr:grpSpPr>
              <xdr:sp macro="" textlink="">
                <xdr:nvSpPr>
                  <xdr:cNvPr id="588" name="CuadroTexto 587">
                    <a:extLst>
                      <a:ext uri="{FF2B5EF4-FFF2-40B4-BE49-F238E27FC236}">
                        <a16:creationId xmlns:a16="http://schemas.microsoft.com/office/drawing/2014/main" id="{00000000-0008-0000-0900-00004C020000}"/>
                      </a:ext>
                    </a:extLst>
                  </xdr:cNvPr>
                  <xdr:cNvSpPr txBox="1"/>
                </xdr:nvSpPr>
                <xdr:spPr>
                  <a:xfrm>
                    <a:off x="21778084" y="1466428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19">
                <xdr:nvSpPr>
                  <xdr:cNvPr id="589" name="Rectángulo 588">
                    <a:extLst>
                      <a:ext uri="{FF2B5EF4-FFF2-40B4-BE49-F238E27FC236}">
                        <a16:creationId xmlns:a16="http://schemas.microsoft.com/office/drawing/2014/main" id="{00000000-0008-0000-0900-00004D020000}"/>
                      </a:ext>
                    </a:extLst>
                  </xdr:cNvPr>
                  <xdr:cNvSpPr/>
                </xdr:nvSpPr>
                <xdr:spPr>
                  <a:xfrm>
                    <a:off x="21830789" y="1466235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CC9B548-593E-47E6-8C7F-632167C576CB}"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M$19">
                <xdr:nvSpPr>
                  <xdr:cNvPr id="590" name="Rectángulo 589">
                    <a:extLst>
                      <a:ext uri="{FF2B5EF4-FFF2-40B4-BE49-F238E27FC236}">
                        <a16:creationId xmlns:a16="http://schemas.microsoft.com/office/drawing/2014/main" id="{00000000-0008-0000-0900-00004E020000}"/>
                      </a:ext>
                    </a:extLst>
                  </xdr:cNvPr>
                  <xdr:cNvSpPr/>
                </xdr:nvSpPr>
                <xdr:spPr>
                  <a:xfrm>
                    <a:off x="22116785" y="1466235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FAFC29D-37DF-4384-BA5A-FF96B8D3F073}" type="TxLink">
                      <a:rPr lang="en-US" sz="1100" b="1" i="0" u="none" strike="noStrike">
                        <a:solidFill>
                          <a:srgbClr val="FFFF00"/>
                        </a:solidFill>
                        <a:latin typeface="Century Gothic"/>
                      </a:rPr>
                      <a:pPr algn="ctr"/>
                      <a:t>20</a:t>
                    </a:fld>
                    <a:endParaRPr lang="es-CO" sz="1100" b="1">
                      <a:solidFill>
                        <a:srgbClr val="FFFF00"/>
                      </a:solidFill>
                    </a:endParaRPr>
                  </a:p>
                </xdr:txBody>
              </xdr:sp>
            </xdr:grpSp>
          </xdr:grpSp>
        </xdr:grpSp>
        <xdr:grpSp>
          <xdr:nvGrpSpPr>
            <xdr:cNvPr id="484" name="Grupo 483">
              <a:extLst>
                <a:ext uri="{FF2B5EF4-FFF2-40B4-BE49-F238E27FC236}">
                  <a16:creationId xmlns:a16="http://schemas.microsoft.com/office/drawing/2014/main" id="{00000000-0008-0000-0900-0000E4010000}"/>
                </a:ext>
              </a:extLst>
            </xdr:cNvPr>
            <xdr:cNvGrpSpPr/>
          </xdr:nvGrpSpPr>
          <xdr:grpSpPr>
            <a:xfrm>
              <a:off x="11630673" y="15602535"/>
              <a:ext cx="6933765" cy="1610669"/>
              <a:chOff x="23593997" y="15707314"/>
              <a:chExt cx="6930330" cy="1670513"/>
            </a:xfrm>
          </xdr:grpSpPr>
          <xdr:grpSp>
            <xdr:nvGrpSpPr>
              <xdr:cNvPr id="562" name="Grupo 561">
                <a:extLst>
                  <a:ext uri="{FF2B5EF4-FFF2-40B4-BE49-F238E27FC236}">
                    <a16:creationId xmlns:a16="http://schemas.microsoft.com/office/drawing/2014/main" id="{00000000-0008-0000-0900-000032020000}"/>
                  </a:ext>
                </a:extLst>
              </xdr:cNvPr>
              <xdr:cNvGrpSpPr/>
            </xdr:nvGrpSpPr>
            <xdr:grpSpPr>
              <a:xfrm>
                <a:off x="23593997" y="15707314"/>
                <a:ext cx="720000" cy="1670513"/>
                <a:chOff x="27309535" y="8406495"/>
                <a:chExt cx="719540" cy="1610348"/>
              </a:xfrm>
            </xdr:grpSpPr>
            <xdr:sp macro="" textlink="">
              <xdr:nvSpPr>
                <xdr:cNvPr id="573" name="Rectángulo 572">
                  <a:extLst>
                    <a:ext uri="{FF2B5EF4-FFF2-40B4-BE49-F238E27FC236}">
                      <a16:creationId xmlns:a16="http://schemas.microsoft.com/office/drawing/2014/main" id="{00000000-0008-0000-0900-00003D020000}"/>
                    </a:ext>
                  </a:extLst>
                </xdr:cNvPr>
                <xdr:cNvSpPr/>
              </xdr:nvSpPr>
              <xdr:spPr>
                <a:xfrm>
                  <a:off x="27309535" y="8504462"/>
                  <a:ext cx="719540"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74" name="CuadroTexto 573">
                  <a:extLst>
                    <a:ext uri="{FF2B5EF4-FFF2-40B4-BE49-F238E27FC236}">
                      <a16:creationId xmlns:a16="http://schemas.microsoft.com/office/drawing/2014/main" id="{00000000-0008-0000-0900-00003E020000}"/>
                    </a:ext>
                  </a:extLst>
                </xdr:cNvPr>
                <xdr:cNvSpPr txBox="1"/>
              </xdr:nvSpPr>
              <xdr:spPr>
                <a:xfrm rot="16200000">
                  <a:off x="26864212"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563" name="Flecha abajo 562">
                <a:extLst>
                  <a:ext uri="{FF2B5EF4-FFF2-40B4-BE49-F238E27FC236}">
                    <a16:creationId xmlns:a16="http://schemas.microsoft.com/office/drawing/2014/main" id="{00000000-0008-0000-0900-000033020000}"/>
                  </a:ext>
                </a:extLst>
              </xdr:cNvPr>
              <xdr:cNvSpPr/>
            </xdr:nvSpPr>
            <xdr:spPr>
              <a:xfrm rot="10800000">
                <a:off x="28975706" y="15829191"/>
                <a:ext cx="468299" cy="298760"/>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64" name="Grupo 563">
                <a:extLst>
                  <a:ext uri="{FF2B5EF4-FFF2-40B4-BE49-F238E27FC236}">
                    <a16:creationId xmlns:a16="http://schemas.microsoft.com/office/drawing/2014/main" id="{00000000-0008-0000-0900-000034020000}"/>
                  </a:ext>
                </a:extLst>
              </xdr:cNvPr>
              <xdr:cNvGrpSpPr/>
            </xdr:nvGrpSpPr>
            <xdr:grpSpPr>
              <a:xfrm>
                <a:off x="28362945" y="16254641"/>
                <a:ext cx="2161382" cy="750055"/>
                <a:chOff x="16761275" y="17298378"/>
                <a:chExt cx="2158482" cy="736372"/>
              </a:xfrm>
            </xdr:grpSpPr>
            <xdr:grpSp>
              <xdr:nvGrpSpPr>
                <xdr:cNvPr id="565" name="Grupo 564">
                  <a:extLst>
                    <a:ext uri="{FF2B5EF4-FFF2-40B4-BE49-F238E27FC236}">
                      <a16:creationId xmlns:a16="http://schemas.microsoft.com/office/drawing/2014/main" id="{00000000-0008-0000-0900-000035020000}"/>
                    </a:ext>
                  </a:extLst>
                </xdr:cNvPr>
                <xdr:cNvGrpSpPr/>
              </xdr:nvGrpSpPr>
              <xdr:grpSpPr>
                <a:xfrm>
                  <a:off x="16761275" y="17298378"/>
                  <a:ext cx="2158482" cy="736372"/>
                  <a:chOff x="28351843" y="12455641"/>
                  <a:chExt cx="2160000" cy="723042"/>
                </a:xfrm>
              </xdr:grpSpPr>
              <xdr:sp macro="" textlink="">
                <xdr:nvSpPr>
                  <xdr:cNvPr id="570" name="Cheurón 569">
                    <a:extLst>
                      <a:ext uri="{FF2B5EF4-FFF2-40B4-BE49-F238E27FC236}">
                        <a16:creationId xmlns:a16="http://schemas.microsoft.com/office/drawing/2014/main" id="{00000000-0008-0000-0900-00003A02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71" name="CuadroTexto 570">
                    <a:extLst>
                      <a:ext uri="{FF2B5EF4-FFF2-40B4-BE49-F238E27FC236}">
                        <a16:creationId xmlns:a16="http://schemas.microsoft.com/office/drawing/2014/main" id="{00000000-0008-0000-0900-00003B020000}"/>
                      </a:ext>
                    </a:extLst>
                  </xdr:cNvPr>
                  <xdr:cNvSpPr txBox="1"/>
                </xdr:nvSpPr>
                <xdr:spPr>
                  <a:xfrm>
                    <a:off x="28448411" y="12455641"/>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T$28">
                <xdr:nvSpPr>
                  <xdr:cNvPr id="572" name="Rectángulo redondeado 571">
                    <a:extLst>
                      <a:ext uri="{FF2B5EF4-FFF2-40B4-BE49-F238E27FC236}">
                        <a16:creationId xmlns:a16="http://schemas.microsoft.com/office/drawing/2014/main" id="{00000000-0008-0000-0900-00003C020000}"/>
                      </a:ext>
                    </a:extLst>
                  </xdr:cNvPr>
                  <xdr:cNvSpPr/>
                </xdr:nvSpPr>
                <xdr:spPr>
                  <a:xfrm>
                    <a:off x="29530050" y="12556922"/>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14B0E5C-9AF2-4542-AEC1-CB24417AEDA2}" type="TxLink">
                      <a:rPr lang="en-US" sz="1100" b="1" i="0" u="none" strike="noStrike">
                        <a:solidFill>
                          <a:srgbClr val="000000"/>
                        </a:solidFill>
                        <a:latin typeface="Century Gothic"/>
                      </a:rPr>
                      <a:pPr algn="ctr"/>
                      <a:t>-</a:t>
                    </a:fld>
                    <a:endParaRPr lang="es-CO" sz="5400">
                      <a:solidFill>
                        <a:schemeClr val="tx1">
                          <a:lumMod val="95000"/>
                          <a:lumOff val="5000"/>
                        </a:schemeClr>
                      </a:solidFill>
                    </a:endParaRPr>
                  </a:p>
                </xdr:txBody>
              </xdr:sp>
            </xdr:grpSp>
            <xdr:grpSp>
              <xdr:nvGrpSpPr>
                <xdr:cNvPr id="566" name="Grupo 565">
                  <a:extLst>
                    <a:ext uri="{FF2B5EF4-FFF2-40B4-BE49-F238E27FC236}">
                      <a16:creationId xmlns:a16="http://schemas.microsoft.com/office/drawing/2014/main" id="{00000000-0008-0000-0900-000036020000}"/>
                    </a:ext>
                  </a:extLst>
                </xdr:cNvPr>
                <xdr:cNvGrpSpPr/>
              </xdr:nvGrpSpPr>
              <xdr:grpSpPr>
                <a:xfrm>
                  <a:off x="17936902" y="17738142"/>
                  <a:ext cx="825525" cy="278713"/>
                  <a:chOff x="17936902" y="17919981"/>
                  <a:chExt cx="825525" cy="278713"/>
                </a:xfrm>
              </xdr:grpSpPr>
              <xdr:sp macro="" textlink="">
                <xdr:nvSpPr>
                  <xdr:cNvPr id="567" name="CuadroTexto 566">
                    <a:extLst>
                      <a:ext uri="{FF2B5EF4-FFF2-40B4-BE49-F238E27FC236}">
                        <a16:creationId xmlns:a16="http://schemas.microsoft.com/office/drawing/2014/main" id="{00000000-0008-0000-0900-000037020000}"/>
                      </a:ext>
                    </a:extLst>
                  </xdr:cNvPr>
                  <xdr:cNvSpPr txBox="1"/>
                </xdr:nvSpPr>
                <xdr:spPr>
                  <a:xfrm>
                    <a:off x="17936902" y="1792671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chemeClr val="tx1">
                            <a:lumMod val="95000"/>
                            <a:lumOff val="5000"/>
                          </a:schemeClr>
                        </a:solidFill>
                        <a:latin typeface="Century Gothic" panose="020B0502020202020204" pitchFamily="34" charset="0"/>
                      </a:rPr>
                      <a:t>(</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  </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a:t>
                    </a:r>
                  </a:p>
                </xdr:txBody>
              </xdr:sp>
              <xdr:sp macro="" textlink="$N$28">
                <xdr:nvSpPr>
                  <xdr:cNvPr id="568" name="Rectángulo 567">
                    <a:extLst>
                      <a:ext uri="{FF2B5EF4-FFF2-40B4-BE49-F238E27FC236}">
                        <a16:creationId xmlns:a16="http://schemas.microsoft.com/office/drawing/2014/main" id="{00000000-0008-0000-0900-000038020000}"/>
                      </a:ext>
                    </a:extLst>
                  </xdr:cNvPr>
                  <xdr:cNvSpPr/>
                </xdr:nvSpPr>
                <xdr:spPr>
                  <a:xfrm>
                    <a:off x="17989607" y="1791998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C5B8C5E-24BA-4436-8D1F-A2FC47E58997}" type="TxLink">
                      <a:rPr lang="en-US" sz="1100" b="0" i="0" u="none" strike="noStrike">
                        <a:solidFill>
                          <a:srgbClr val="000000"/>
                        </a:solidFill>
                        <a:latin typeface="Century Gothic"/>
                      </a:rPr>
                      <a:pPr algn="ctr"/>
                      <a:t>-</a:t>
                    </a:fld>
                    <a:endParaRPr lang="es-CO" sz="1100" b="1">
                      <a:solidFill>
                        <a:schemeClr val="tx1">
                          <a:lumMod val="95000"/>
                          <a:lumOff val="5000"/>
                        </a:schemeClr>
                      </a:solidFill>
                    </a:endParaRPr>
                  </a:p>
                </xdr:txBody>
              </xdr:sp>
              <xdr:sp macro="" textlink="$M$28">
                <xdr:nvSpPr>
                  <xdr:cNvPr id="569" name="Rectángulo 568">
                    <a:extLst>
                      <a:ext uri="{FF2B5EF4-FFF2-40B4-BE49-F238E27FC236}">
                        <a16:creationId xmlns:a16="http://schemas.microsoft.com/office/drawing/2014/main" id="{00000000-0008-0000-0900-000039020000}"/>
                      </a:ext>
                    </a:extLst>
                  </xdr:cNvPr>
                  <xdr:cNvSpPr/>
                </xdr:nvSpPr>
                <xdr:spPr>
                  <a:xfrm>
                    <a:off x="18275603" y="1791998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B9F7AEF-9F98-4FEA-AADF-8809D0C3E427}" type="TxLink">
                      <a:rPr lang="en-US" sz="1100" b="0" i="0" u="none" strike="noStrike">
                        <a:solidFill>
                          <a:srgbClr val="000000"/>
                        </a:solidFill>
                        <a:latin typeface="Century Gothic"/>
                      </a:rPr>
                      <a:pPr algn="ctr"/>
                      <a:t>-</a:t>
                    </a:fld>
                    <a:endParaRPr lang="es-CO" sz="1100" b="1">
                      <a:solidFill>
                        <a:schemeClr val="tx1">
                          <a:lumMod val="95000"/>
                          <a:lumOff val="5000"/>
                        </a:schemeClr>
                      </a:solidFill>
                    </a:endParaRPr>
                  </a:p>
                </xdr:txBody>
              </xdr:sp>
            </xdr:grpSp>
          </xdr:grpSp>
        </xdr:grpSp>
        <xdr:grpSp>
          <xdr:nvGrpSpPr>
            <xdr:cNvPr id="485" name="Grupo 484">
              <a:extLst>
                <a:ext uri="{FF2B5EF4-FFF2-40B4-BE49-F238E27FC236}">
                  <a16:creationId xmlns:a16="http://schemas.microsoft.com/office/drawing/2014/main" id="{00000000-0008-0000-0900-0000E5010000}"/>
                </a:ext>
              </a:extLst>
            </xdr:cNvPr>
            <xdr:cNvGrpSpPr/>
          </xdr:nvGrpSpPr>
          <xdr:grpSpPr>
            <a:xfrm>
              <a:off x="11631000" y="13726521"/>
              <a:ext cx="10822329" cy="1894485"/>
              <a:chOff x="11631000" y="13726521"/>
              <a:chExt cx="10822329" cy="1894485"/>
            </a:xfrm>
          </xdr:grpSpPr>
          <xdr:grpSp>
            <xdr:nvGrpSpPr>
              <xdr:cNvPr id="486" name="Grupo 485">
                <a:extLst>
                  <a:ext uri="{FF2B5EF4-FFF2-40B4-BE49-F238E27FC236}">
                    <a16:creationId xmlns:a16="http://schemas.microsoft.com/office/drawing/2014/main" id="{00000000-0008-0000-0900-0000E6010000}"/>
                  </a:ext>
                </a:extLst>
              </xdr:cNvPr>
              <xdr:cNvGrpSpPr/>
            </xdr:nvGrpSpPr>
            <xdr:grpSpPr>
              <a:xfrm>
                <a:off x="20292295" y="14063295"/>
                <a:ext cx="2161034" cy="726200"/>
                <a:chOff x="20292295" y="14063295"/>
                <a:chExt cx="2161034" cy="726200"/>
              </a:xfrm>
            </xdr:grpSpPr>
            <xdr:grpSp>
              <xdr:nvGrpSpPr>
                <xdr:cNvPr id="554" name="Grupo 553">
                  <a:extLst>
                    <a:ext uri="{FF2B5EF4-FFF2-40B4-BE49-F238E27FC236}">
                      <a16:creationId xmlns:a16="http://schemas.microsoft.com/office/drawing/2014/main" id="{00000000-0008-0000-0900-00002A020000}"/>
                    </a:ext>
                  </a:extLst>
                </xdr:cNvPr>
                <xdr:cNvGrpSpPr/>
              </xdr:nvGrpSpPr>
              <xdr:grpSpPr>
                <a:xfrm>
                  <a:off x="20292295" y="14063295"/>
                  <a:ext cx="2161034" cy="726200"/>
                  <a:chOff x="28351843" y="12458683"/>
                  <a:chExt cx="2160000" cy="726638"/>
                </a:xfrm>
              </xdr:grpSpPr>
              <xdr:sp macro="" textlink="">
                <xdr:nvSpPr>
                  <xdr:cNvPr id="559" name="Cheurón 558">
                    <a:extLst>
                      <a:ext uri="{FF2B5EF4-FFF2-40B4-BE49-F238E27FC236}">
                        <a16:creationId xmlns:a16="http://schemas.microsoft.com/office/drawing/2014/main" id="{00000000-0008-0000-0900-00002F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60" name="CuadroTexto 559">
                    <a:extLst>
                      <a:ext uri="{FF2B5EF4-FFF2-40B4-BE49-F238E27FC236}">
                        <a16:creationId xmlns:a16="http://schemas.microsoft.com/office/drawing/2014/main" id="{00000000-0008-0000-0900-000030020000}"/>
                      </a:ext>
                    </a:extLst>
                  </xdr:cNvPr>
                  <xdr:cNvSpPr txBox="1"/>
                </xdr:nvSpPr>
                <xdr:spPr>
                  <a:xfrm>
                    <a:off x="2847066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T$24">
                <xdr:nvSpPr>
                  <xdr:cNvPr id="561" name="Rectángulo redondeado 560">
                    <a:extLst>
                      <a:ext uri="{FF2B5EF4-FFF2-40B4-BE49-F238E27FC236}">
                        <a16:creationId xmlns:a16="http://schemas.microsoft.com/office/drawing/2014/main" id="{00000000-0008-0000-0900-000031020000}"/>
                      </a:ext>
                    </a:extLst>
                  </xdr:cNvPr>
                  <xdr:cNvSpPr/>
                </xdr:nvSpPr>
                <xdr:spPr>
                  <a:xfrm>
                    <a:off x="29570871"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04E983-D614-4556-80CE-1FFC69A45038}" type="TxLink">
                      <a:rPr lang="en-US" sz="1600" b="1" i="0" u="none" strike="noStrike">
                        <a:solidFill>
                          <a:srgbClr val="FFFF00"/>
                        </a:solidFill>
                        <a:latin typeface="Century Gothic"/>
                      </a:rPr>
                      <a:pPr algn="ctr"/>
                      <a:t>-</a:t>
                    </a:fld>
                    <a:endParaRPr lang="es-CO" sz="8800">
                      <a:solidFill>
                        <a:srgbClr val="FFFF00"/>
                      </a:solidFill>
                    </a:endParaRPr>
                  </a:p>
                </xdr:txBody>
              </xdr:sp>
            </xdr:grpSp>
            <xdr:grpSp>
              <xdr:nvGrpSpPr>
                <xdr:cNvPr id="555" name="Grupo 554">
                  <a:extLst>
                    <a:ext uri="{FF2B5EF4-FFF2-40B4-BE49-F238E27FC236}">
                      <a16:creationId xmlns:a16="http://schemas.microsoft.com/office/drawing/2014/main" id="{00000000-0008-0000-0900-00002B020000}"/>
                    </a:ext>
                  </a:extLst>
                </xdr:cNvPr>
                <xdr:cNvGrpSpPr/>
              </xdr:nvGrpSpPr>
              <xdr:grpSpPr>
                <a:xfrm>
                  <a:off x="21484084" y="14510288"/>
                  <a:ext cx="826634" cy="273422"/>
                  <a:chOff x="21838689" y="15788044"/>
                  <a:chExt cx="825525" cy="275854"/>
                </a:xfrm>
              </xdr:grpSpPr>
              <xdr:sp macro="" textlink="">
                <xdr:nvSpPr>
                  <xdr:cNvPr id="556" name="CuadroTexto 555">
                    <a:extLst>
                      <a:ext uri="{FF2B5EF4-FFF2-40B4-BE49-F238E27FC236}">
                        <a16:creationId xmlns:a16="http://schemas.microsoft.com/office/drawing/2014/main" id="{00000000-0008-0000-0900-00002C020000}"/>
                      </a:ext>
                    </a:extLst>
                  </xdr:cNvPr>
                  <xdr:cNvSpPr txBox="1"/>
                </xdr:nvSpPr>
                <xdr:spPr>
                  <a:xfrm>
                    <a:off x="21838689" y="15789983"/>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4">
                <xdr:nvSpPr>
                  <xdr:cNvPr id="557" name="Rectángulo 556">
                    <a:extLst>
                      <a:ext uri="{FF2B5EF4-FFF2-40B4-BE49-F238E27FC236}">
                        <a16:creationId xmlns:a16="http://schemas.microsoft.com/office/drawing/2014/main" id="{00000000-0008-0000-0900-00002D02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7DB69B3-D1A9-45D8-91AE-3C304F754922}"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4">
                <xdr:nvSpPr>
                  <xdr:cNvPr id="558" name="Rectángulo 557">
                    <a:extLst>
                      <a:ext uri="{FF2B5EF4-FFF2-40B4-BE49-F238E27FC236}">
                        <a16:creationId xmlns:a16="http://schemas.microsoft.com/office/drawing/2014/main" id="{00000000-0008-0000-0900-00002E02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9EC32AB7-BCF1-4E92-AF60-CEA7DBBE21A7}" type="TxLink">
                      <a:rPr lang="en-US" sz="1100" b="1" i="0" u="none" strike="noStrike">
                        <a:solidFill>
                          <a:srgbClr val="FFFF00"/>
                        </a:solidFill>
                        <a:latin typeface="Century Gothic"/>
                      </a:rPr>
                      <a:pPr algn="ctr"/>
                      <a:t>15</a:t>
                    </a:fld>
                    <a:endParaRPr lang="es-CO" sz="1100" b="1">
                      <a:solidFill>
                        <a:srgbClr val="FFFF00"/>
                      </a:solidFill>
                    </a:endParaRPr>
                  </a:p>
                </xdr:txBody>
              </xdr:sp>
            </xdr:grpSp>
          </xdr:grpSp>
          <xdr:grpSp>
            <xdr:nvGrpSpPr>
              <xdr:cNvPr id="487" name="Grupo 486">
                <a:extLst>
                  <a:ext uri="{FF2B5EF4-FFF2-40B4-BE49-F238E27FC236}">
                    <a16:creationId xmlns:a16="http://schemas.microsoft.com/office/drawing/2014/main" id="{00000000-0008-0000-0900-0000E7010000}"/>
                  </a:ext>
                </a:extLst>
              </xdr:cNvPr>
              <xdr:cNvGrpSpPr/>
            </xdr:nvGrpSpPr>
            <xdr:grpSpPr>
              <a:xfrm>
                <a:off x="11631000" y="14011630"/>
                <a:ext cx="720357" cy="1609376"/>
                <a:chOff x="27309535" y="8406495"/>
                <a:chExt cx="720013" cy="1610348"/>
              </a:xfrm>
            </xdr:grpSpPr>
            <xdr:sp macro="" textlink="">
              <xdr:nvSpPr>
                <xdr:cNvPr id="552" name="Rectángulo 551">
                  <a:extLst>
                    <a:ext uri="{FF2B5EF4-FFF2-40B4-BE49-F238E27FC236}">
                      <a16:creationId xmlns:a16="http://schemas.microsoft.com/office/drawing/2014/main" id="{00000000-0008-0000-0900-000028020000}"/>
                    </a:ext>
                  </a:extLst>
                </xdr:cNvPr>
                <xdr:cNvSpPr/>
              </xdr:nvSpPr>
              <xdr:spPr>
                <a:xfrm>
                  <a:off x="27309535" y="8450034"/>
                  <a:ext cx="720013"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53" name="CuadroTexto 552">
                  <a:extLst>
                    <a:ext uri="{FF2B5EF4-FFF2-40B4-BE49-F238E27FC236}">
                      <a16:creationId xmlns:a16="http://schemas.microsoft.com/office/drawing/2014/main" id="{00000000-0008-0000-0900-000029020000}"/>
                    </a:ext>
                  </a:extLst>
                </xdr:cNvPr>
                <xdr:cNvSpPr txBox="1"/>
              </xdr:nvSpPr>
              <xdr:spPr>
                <a:xfrm rot="16200000">
                  <a:off x="26864178"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488" name="Flecha abajo 487">
                <a:extLst>
                  <a:ext uri="{FF2B5EF4-FFF2-40B4-BE49-F238E27FC236}">
                    <a16:creationId xmlns:a16="http://schemas.microsoft.com/office/drawing/2014/main" id="{00000000-0008-0000-0900-0000E8010000}"/>
                  </a:ext>
                </a:extLst>
              </xdr:cNvPr>
              <xdr:cNvSpPr/>
            </xdr:nvSpPr>
            <xdr:spPr>
              <a:xfrm rot="10800000">
                <a:off x="17011453" y="13726521"/>
                <a:ext cx="468224" cy="287826"/>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89" name="Grupo 488">
                <a:extLst>
                  <a:ext uri="{FF2B5EF4-FFF2-40B4-BE49-F238E27FC236}">
                    <a16:creationId xmlns:a16="http://schemas.microsoft.com/office/drawing/2014/main" id="{00000000-0008-0000-0900-0000E9010000}"/>
                  </a:ext>
                </a:extLst>
              </xdr:cNvPr>
              <xdr:cNvGrpSpPr/>
            </xdr:nvGrpSpPr>
            <xdr:grpSpPr>
              <a:xfrm>
                <a:off x="12453559" y="14063294"/>
                <a:ext cx="2161034" cy="730012"/>
                <a:chOff x="12820100" y="15204109"/>
                <a:chExt cx="2157065" cy="743322"/>
              </a:xfrm>
            </xdr:grpSpPr>
            <xdr:grpSp>
              <xdr:nvGrpSpPr>
                <xdr:cNvPr id="544" name="Grupo 543">
                  <a:extLst>
                    <a:ext uri="{FF2B5EF4-FFF2-40B4-BE49-F238E27FC236}">
                      <a16:creationId xmlns:a16="http://schemas.microsoft.com/office/drawing/2014/main" id="{00000000-0008-0000-0900-000020020000}"/>
                    </a:ext>
                  </a:extLst>
                </xdr:cNvPr>
                <xdr:cNvGrpSpPr/>
              </xdr:nvGrpSpPr>
              <xdr:grpSpPr>
                <a:xfrm>
                  <a:off x="12820100" y="15204109"/>
                  <a:ext cx="2157065" cy="739441"/>
                  <a:chOff x="28351843" y="12458683"/>
                  <a:chExt cx="2160000" cy="726638"/>
                </a:xfrm>
              </xdr:grpSpPr>
              <xdr:sp macro="" textlink="">
                <xdr:nvSpPr>
                  <xdr:cNvPr id="549" name="Cheurón 548">
                    <a:extLst>
                      <a:ext uri="{FF2B5EF4-FFF2-40B4-BE49-F238E27FC236}">
                        <a16:creationId xmlns:a16="http://schemas.microsoft.com/office/drawing/2014/main" id="{00000000-0008-0000-0900-000025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50" name="CuadroTexto 549">
                    <a:extLst>
                      <a:ext uri="{FF2B5EF4-FFF2-40B4-BE49-F238E27FC236}">
                        <a16:creationId xmlns:a16="http://schemas.microsoft.com/office/drawing/2014/main" id="{00000000-0008-0000-0900-00002602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T$20">
                <xdr:nvSpPr>
                  <xdr:cNvPr id="551" name="Rectángulo redondeado 550">
                    <a:extLst>
                      <a:ext uri="{FF2B5EF4-FFF2-40B4-BE49-F238E27FC236}">
                        <a16:creationId xmlns:a16="http://schemas.microsoft.com/office/drawing/2014/main" id="{00000000-0008-0000-0900-000027020000}"/>
                      </a:ext>
                    </a:extLst>
                  </xdr:cNvPr>
                  <xdr:cNvSpPr/>
                </xdr:nvSpPr>
                <xdr:spPr>
                  <a:xfrm>
                    <a:off x="29557264" y="1257052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4DE78FA-A512-4BAE-AE21-262DDBD95E11}" type="TxLink">
                      <a:rPr lang="en-US" sz="1600" b="1" i="0" u="none" strike="noStrike">
                        <a:solidFill>
                          <a:srgbClr val="FFFF00"/>
                        </a:solidFill>
                        <a:latin typeface="Century Gothic"/>
                      </a:rPr>
                      <a:pPr algn="ctr"/>
                      <a:t>22,2%</a:t>
                    </a:fld>
                    <a:endParaRPr lang="es-CO" sz="4000">
                      <a:solidFill>
                        <a:srgbClr val="FFFF00"/>
                      </a:solidFill>
                    </a:endParaRPr>
                  </a:p>
                </xdr:txBody>
              </xdr:sp>
            </xdr:grpSp>
            <xdr:grpSp>
              <xdr:nvGrpSpPr>
                <xdr:cNvPr id="545" name="Grupo 544">
                  <a:extLst>
                    <a:ext uri="{FF2B5EF4-FFF2-40B4-BE49-F238E27FC236}">
                      <a16:creationId xmlns:a16="http://schemas.microsoft.com/office/drawing/2014/main" id="{00000000-0008-0000-0900-000021020000}"/>
                    </a:ext>
                  </a:extLst>
                </xdr:cNvPr>
                <xdr:cNvGrpSpPr/>
              </xdr:nvGrpSpPr>
              <xdr:grpSpPr>
                <a:xfrm>
                  <a:off x="14033393" y="15663117"/>
                  <a:ext cx="825525" cy="284314"/>
                  <a:chOff x="14059370" y="15823739"/>
                  <a:chExt cx="825525" cy="284314"/>
                </a:xfrm>
              </xdr:grpSpPr>
              <xdr:sp macro="" textlink="">
                <xdr:nvSpPr>
                  <xdr:cNvPr id="546" name="CuadroTexto 545">
                    <a:extLst>
                      <a:ext uri="{FF2B5EF4-FFF2-40B4-BE49-F238E27FC236}">
                        <a16:creationId xmlns:a16="http://schemas.microsoft.com/office/drawing/2014/main" id="{00000000-0008-0000-0900-000022020000}"/>
                      </a:ext>
                    </a:extLst>
                  </xdr:cNvPr>
                  <xdr:cNvSpPr txBox="1"/>
                </xdr:nvSpPr>
                <xdr:spPr>
                  <a:xfrm>
                    <a:off x="14059370" y="1582373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b="0" i="0">
                        <a:solidFill>
                          <a:srgbClr val="FFFF00"/>
                        </a:solidFill>
                        <a:latin typeface="Century Gothic" panose="020B0502020202020204" pitchFamily="34" charset="0"/>
                      </a:rPr>
                      <a:t>(</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  </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a:t>
                    </a:r>
                  </a:p>
                </xdr:txBody>
              </xdr:sp>
              <xdr:sp macro="" textlink="$N$20">
                <xdr:nvSpPr>
                  <xdr:cNvPr id="547" name="Rectángulo 546">
                    <a:extLst>
                      <a:ext uri="{FF2B5EF4-FFF2-40B4-BE49-F238E27FC236}">
                        <a16:creationId xmlns:a16="http://schemas.microsoft.com/office/drawing/2014/main" id="{00000000-0008-0000-0900-000023020000}"/>
                      </a:ext>
                    </a:extLst>
                  </xdr:cNvPr>
                  <xdr:cNvSpPr/>
                </xdr:nvSpPr>
                <xdr:spPr>
                  <a:xfrm>
                    <a:off x="14112075" y="1583219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3096044A-B804-4C28-8983-F177C4A6559C}"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M$20">
                <xdr:nvSpPr>
                  <xdr:cNvPr id="548" name="Rectángulo 547">
                    <a:extLst>
                      <a:ext uri="{FF2B5EF4-FFF2-40B4-BE49-F238E27FC236}">
                        <a16:creationId xmlns:a16="http://schemas.microsoft.com/office/drawing/2014/main" id="{00000000-0008-0000-0900-000024020000}"/>
                      </a:ext>
                    </a:extLst>
                  </xdr:cNvPr>
                  <xdr:cNvSpPr/>
                </xdr:nvSpPr>
                <xdr:spPr>
                  <a:xfrm>
                    <a:off x="14398071" y="1583219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B58196C6-0F12-48D4-A159-F612FD7EA6FB}" type="TxLink">
                      <a:rPr lang="en-US" sz="1100" b="1" i="0" u="none" strike="noStrike">
                        <a:solidFill>
                          <a:srgbClr val="FFFF00"/>
                        </a:solidFill>
                        <a:latin typeface="Century Gothic"/>
                      </a:rPr>
                      <a:pPr algn="ctr"/>
                      <a:t>34</a:t>
                    </a:fld>
                    <a:endParaRPr lang="es-CO" sz="1100" b="1">
                      <a:solidFill>
                        <a:srgbClr val="FFFF00"/>
                      </a:solidFill>
                    </a:endParaRPr>
                  </a:p>
                </xdr:txBody>
              </xdr:sp>
            </xdr:grpSp>
          </xdr:grpSp>
          <xdr:grpSp>
            <xdr:nvGrpSpPr>
              <xdr:cNvPr id="490" name="Grupo 489">
                <a:extLst>
                  <a:ext uri="{FF2B5EF4-FFF2-40B4-BE49-F238E27FC236}">
                    <a16:creationId xmlns:a16="http://schemas.microsoft.com/office/drawing/2014/main" id="{00000000-0008-0000-0900-0000EA010000}"/>
                  </a:ext>
                </a:extLst>
              </xdr:cNvPr>
              <xdr:cNvGrpSpPr/>
            </xdr:nvGrpSpPr>
            <xdr:grpSpPr>
              <a:xfrm>
                <a:off x="14403034" y="14063294"/>
                <a:ext cx="2169673" cy="730012"/>
                <a:chOff x="14765995" y="15204109"/>
                <a:chExt cx="2165688" cy="743322"/>
              </a:xfrm>
            </xdr:grpSpPr>
            <xdr:grpSp>
              <xdr:nvGrpSpPr>
                <xdr:cNvPr id="536" name="Grupo 535">
                  <a:extLst>
                    <a:ext uri="{FF2B5EF4-FFF2-40B4-BE49-F238E27FC236}">
                      <a16:creationId xmlns:a16="http://schemas.microsoft.com/office/drawing/2014/main" id="{00000000-0008-0000-0900-000018020000}"/>
                    </a:ext>
                  </a:extLst>
                </xdr:cNvPr>
                <xdr:cNvGrpSpPr/>
              </xdr:nvGrpSpPr>
              <xdr:grpSpPr>
                <a:xfrm>
                  <a:off x="14765995" y="15204109"/>
                  <a:ext cx="2165688" cy="739441"/>
                  <a:chOff x="28351843" y="12458683"/>
                  <a:chExt cx="2168635" cy="726638"/>
                </a:xfrm>
              </xdr:grpSpPr>
              <xdr:sp macro="" textlink="">
                <xdr:nvSpPr>
                  <xdr:cNvPr id="541" name="Cheurón 540">
                    <a:extLst>
                      <a:ext uri="{FF2B5EF4-FFF2-40B4-BE49-F238E27FC236}">
                        <a16:creationId xmlns:a16="http://schemas.microsoft.com/office/drawing/2014/main" id="{00000000-0008-0000-0900-00001D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42" name="CuadroTexto 541">
                    <a:extLst>
                      <a:ext uri="{FF2B5EF4-FFF2-40B4-BE49-F238E27FC236}">
                        <a16:creationId xmlns:a16="http://schemas.microsoft.com/office/drawing/2014/main" id="{00000000-0008-0000-0900-00001E02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T$21">
                <xdr:nvSpPr>
                  <xdr:cNvPr id="543" name="Rectángulo redondeado 542">
                    <a:extLst>
                      <a:ext uri="{FF2B5EF4-FFF2-40B4-BE49-F238E27FC236}">
                        <a16:creationId xmlns:a16="http://schemas.microsoft.com/office/drawing/2014/main" id="{00000000-0008-0000-0900-00001F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E966221-3B11-4863-B8C4-9B9AC1257276}" type="TxLink">
                      <a:rPr lang="en-US" sz="1600" b="1" i="0" u="none" strike="noStrike">
                        <a:solidFill>
                          <a:srgbClr val="FFFF00"/>
                        </a:solidFill>
                        <a:latin typeface="Century Gothic"/>
                      </a:rPr>
                      <a:pPr algn="ctr"/>
                      <a:t>7,7%</a:t>
                    </a:fld>
                    <a:endParaRPr lang="es-CO" sz="4800">
                      <a:solidFill>
                        <a:srgbClr val="FFFF00"/>
                      </a:solidFill>
                    </a:endParaRPr>
                  </a:p>
                </xdr:txBody>
              </xdr:sp>
            </xdr:grpSp>
            <xdr:grpSp>
              <xdr:nvGrpSpPr>
                <xdr:cNvPr id="537" name="Grupo 536">
                  <a:extLst>
                    <a:ext uri="{FF2B5EF4-FFF2-40B4-BE49-F238E27FC236}">
                      <a16:creationId xmlns:a16="http://schemas.microsoft.com/office/drawing/2014/main" id="{00000000-0008-0000-0900-000019020000}"/>
                    </a:ext>
                  </a:extLst>
                </xdr:cNvPr>
                <xdr:cNvGrpSpPr/>
              </xdr:nvGrpSpPr>
              <xdr:grpSpPr>
                <a:xfrm>
                  <a:off x="15974404" y="15663123"/>
                  <a:ext cx="825525" cy="284308"/>
                  <a:chOff x="15991722" y="15768329"/>
                  <a:chExt cx="825525" cy="284308"/>
                </a:xfrm>
              </xdr:grpSpPr>
              <xdr:sp macro="" textlink="">
                <xdr:nvSpPr>
                  <xdr:cNvPr id="538" name="CuadroTexto 537">
                    <a:extLst>
                      <a:ext uri="{FF2B5EF4-FFF2-40B4-BE49-F238E27FC236}">
                        <a16:creationId xmlns:a16="http://schemas.microsoft.com/office/drawing/2014/main" id="{00000000-0008-0000-0900-00001A020000}"/>
                      </a:ext>
                    </a:extLst>
                  </xdr:cNvPr>
                  <xdr:cNvSpPr txBox="1"/>
                </xdr:nvSpPr>
                <xdr:spPr>
                  <a:xfrm>
                    <a:off x="15991722" y="1576832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1">
                <xdr:nvSpPr>
                  <xdr:cNvPr id="539" name="Rectángulo 538">
                    <a:extLst>
                      <a:ext uri="{FF2B5EF4-FFF2-40B4-BE49-F238E27FC236}">
                        <a16:creationId xmlns:a16="http://schemas.microsoft.com/office/drawing/2014/main" id="{00000000-0008-0000-0900-00001B020000}"/>
                      </a:ext>
                    </a:extLst>
                  </xdr:cNvPr>
                  <xdr:cNvSpPr/>
                </xdr:nvSpPr>
                <xdr:spPr>
                  <a:xfrm>
                    <a:off x="16039588" y="1577678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B93EBFC-A428-4C3D-803C-317481E55B3D}"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M$21">
                <xdr:nvSpPr>
                  <xdr:cNvPr id="540" name="Rectángulo 539">
                    <a:extLst>
                      <a:ext uri="{FF2B5EF4-FFF2-40B4-BE49-F238E27FC236}">
                        <a16:creationId xmlns:a16="http://schemas.microsoft.com/office/drawing/2014/main" id="{00000000-0008-0000-0900-00001C020000}"/>
                      </a:ext>
                    </a:extLst>
                  </xdr:cNvPr>
                  <xdr:cNvSpPr/>
                </xdr:nvSpPr>
                <xdr:spPr>
                  <a:xfrm>
                    <a:off x="16325584" y="1577678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5FF24CFF-0D13-4CD8-977C-BCD914D1CB74}" type="TxLink">
                      <a:rPr lang="en-US" sz="1100" b="1" i="0" u="none" strike="noStrike">
                        <a:solidFill>
                          <a:srgbClr val="FFFF00"/>
                        </a:solidFill>
                        <a:latin typeface="Century Gothic"/>
                      </a:rPr>
                      <a:pPr algn="ctr"/>
                      <a:t>28</a:t>
                    </a:fld>
                    <a:endParaRPr lang="es-CO" sz="1100" b="1">
                      <a:solidFill>
                        <a:srgbClr val="FFFF00"/>
                      </a:solidFill>
                    </a:endParaRPr>
                  </a:p>
                </xdr:txBody>
              </xdr:sp>
            </xdr:grpSp>
          </xdr:grpSp>
          <xdr:grpSp>
            <xdr:nvGrpSpPr>
              <xdr:cNvPr id="491" name="Grupo 490">
                <a:extLst>
                  <a:ext uri="{FF2B5EF4-FFF2-40B4-BE49-F238E27FC236}">
                    <a16:creationId xmlns:a16="http://schemas.microsoft.com/office/drawing/2014/main" id="{00000000-0008-0000-0900-0000EB010000}"/>
                  </a:ext>
                </a:extLst>
              </xdr:cNvPr>
              <xdr:cNvGrpSpPr/>
            </xdr:nvGrpSpPr>
            <xdr:grpSpPr>
              <a:xfrm>
                <a:off x="16366116" y="14063294"/>
                <a:ext cx="2169673" cy="730012"/>
                <a:chOff x="16725472" y="15204109"/>
                <a:chExt cx="2165688" cy="743322"/>
              </a:xfrm>
            </xdr:grpSpPr>
            <xdr:grpSp>
              <xdr:nvGrpSpPr>
                <xdr:cNvPr id="528" name="Grupo 527">
                  <a:extLst>
                    <a:ext uri="{FF2B5EF4-FFF2-40B4-BE49-F238E27FC236}">
                      <a16:creationId xmlns:a16="http://schemas.microsoft.com/office/drawing/2014/main" id="{00000000-0008-0000-0900-000010020000}"/>
                    </a:ext>
                  </a:extLst>
                </xdr:cNvPr>
                <xdr:cNvGrpSpPr/>
              </xdr:nvGrpSpPr>
              <xdr:grpSpPr>
                <a:xfrm>
                  <a:off x="16725472" y="15204109"/>
                  <a:ext cx="2165688" cy="739441"/>
                  <a:chOff x="28351843" y="12458683"/>
                  <a:chExt cx="2168635" cy="726638"/>
                </a:xfrm>
              </xdr:grpSpPr>
              <xdr:sp macro="" textlink="">
                <xdr:nvSpPr>
                  <xdr:cNvPr id="533" name="Cheurón 532">
                    <a:extLst>
                      <a:ext uri="{FF2B5EF4-FFF2-40B4-BE49-F238E27FC236}">
                        <a16:creationId xmlns:a16="http://schemas.microsoft.com/office/drawing/2014/main" id="{00000000-0008-0000-0900-000015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34" name="CuadroTexto 533">
                    <a:extLst>
                      <a:ext uri="{FF2B5EF4-FFF2-40B4-BE49-F238E27FC236}">
                        <a16:creationId xmlns:a16="http://schemas.microsoft.com/office/drawing/2014/main" id="{00000000-0008-0000-0900-000016020000}"/>
                      </a:ext>
                    </a:extLst>
                  </xdr:cNvPr>
                  <xdr:cNvSpPr txBox="1"/>
                </xdr:nvSpPr>
                <xdr:spPr>
                  <a:xfrm>
                    <a:off x="28452122"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T$22">
                <xdr:nvSpPr>
                  <xdr:cNvPr id="535" name="Rectángulo redondeado 534">
                    <a:extLst>
                      <a:ext uri="{FF2B5EF4-FFF2-40B4-BE49-F238E27FC236}">
                        <a16:creationId xmlns:a16="http://schemas.microsoft.com/office/drawing/2014/main" id="{00000000-0008-0000-0900-000017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DBA75A-1F7B-4D6D-B1A3-1E76502B6F2B}" type="TxLink">
                      <a:rPr lang="en-US" sz="1600" b="1" i="0" u="none" strike="noStrike">
                        <a:solidFill>
                          <a:srgbClr val="FFFF00"/>
                        </a:solidFill>
                        <a:latin typeface="Century Gothic"/>
                      </a:rPr>
                      <a:pPr algn="ctr"/>
                      <a:t>-</a:t>
                    </a:fld>
                    <a:endParaRPr lang="es-CO" sz="6000">
                      <a:solidFill>
                        <a:srgbClr val="FFFF00"/>
                      </a:solidFill>
                    </a:endParaRPr>
                  </a:p>
                </xdr:txBody>
              </xdr:sp>
            </xdr:grpSp>
            <xdr:grpSp>
              <xdr:nvGrpSpPr>
                <xdr:cNvPr id="529" name="Grupo 528">
                  <a:extLst>
                    <a:ext uri="{FF2B5EF4-FFF2-40B4-BE49-F238E27FC236}">
                      <a16:creationId xmlns:a16="http://schemas.microsoft.com/office/drawing/2014/main" id="{00000000-0008-0000-0900-000011020000}"/>
                    </a:ext>
                  </a:extLst>
                </xdr:cNvPr>
                <xdr:cNvGrpSpPr/>
              </xdr:nvGrpSpPr>
              <xdr:grpSpPr>
                <a:xfrm>
                  <a:off x="17949031" y="15671577"/>
                  <a:ext cx="825525" cy="275854"/>
                  <a:chOff x="17966349" y="15786309"/>
                  <a:chExt cx="825525" cy="275854"/>
                </a:xfrm>
              </xdr:grpSpPr>
              <xdr:sp macro="" textlink="">
                <xdr:nvSpPr>
                  <xdr:cNvPr id="530" name="CuadroTexto 529">
                    <a:extLst>
                      <a:ext uri="{FF2B5EF4-FFF2-40B4-BE49-F238E27FC236}">
                        <a16:creationId xmlns:a16="http://schemas.microsoft.com/office/drawing/2014/main" id="{00000000-0008-0000-0900-000012020000}"/>
                      </a:ext>
                    </a:extLst>
                  </xdr:cNvPr>
                  <xdr:cNvSpPr txBox="1"/>
                </xdr:nvSpPr>
                <xdr:spPr>
                  <a:xfrm>
                    <a:off x="17966349" y="1578824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2">
                <xdr:nvSpPr>
                  <xdr:cNvPr id="531" name="Rectángulo 530">
                    <a:extLst>
                      <a:ext uri="{FF2B5EF4-FFF2-40B4-BE49-F238E27FC236}">
                        <a16:creationId xmlns:a16="http://schemas.microsoft.com/office/drawing/2014/main" id="{00000000-0008-0000-0900-000013020000}"/>
                      </a:ext>
                    </a:extLst>
                  </xdr:cNvPr>
                  <xdr:cNvSpPr/>
                </xdr:nvSpPr>
                <xdr:spPr>
                  <a:xfrm>
                    <a:off x="18019054" y="1578630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5A584B63-5A8B-4AA2-94F4-2CBA62080715}"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2">
                <xdr:nvSpPr>
                  <xdr:cNvPr id="532" name="Rectángulo 531">
                    <a:extLst>
                      <a:ext uri="{FF2B5EF4-FFF2-40B4-BE49-F238E27FC236}">
                        <a16:creationId xmlns:a16="http://schemas.microsoft.com/office/drawing/2014/main" id="{00000000-0008-0000-0900-000014020000}"/>
                      </a:ext>
                    </a:extLst>
                  </xdr:cNvPr>
                  <xdr:cNvSpPr/>
                </xdr:nvSpPr>
                <xdr:spPr>
                  <a:xfrm>
                    <a:off x="18305050" y="1578630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1D3CE411-27A1-4C4C-B565-CDFF8D787EC2}" type="TxLink">
                      <a:rPr lang="en-US" sz="1100" b="1" i="0" u="none" strike="noStrike">
                        <a:solidFill>
                          <a:srgbClr val="FFFF00"/>
                        </a:solidFill>
                        <a:latin typeface="Century Gothic"/>
                      </a:rPr>
                      <a:pPr algn="ctr"/>
                      <a:t>6</a:t>
                    </a:fld>
                    <a:endParaRPr lang="es-CO" sz="1100" b="1">
                      <a:solidFill>
                        <a:srgbClr val="FFFF00"/>
                      </a:solidFill>
                    </a:endParaRPr>
                  </a:p>
                </xdr:txBody>
              </xdr:sp>
            </xdr:grpSp>
          </xdr:grpSp>
          <xdr:grpSp>
            <xdr:nvGrpSpPr>
              <xdr:cNvPr id="492" name="Grupo 491">
                <a:extLst>
                  <a:ext uri="{FF2B5EF4-FFF2-40B4-BE49-F238E27FC236}">
                    <a16:creationId xmlns:a16="http://schemas.microsoft.com/office/drawing/2014/main" id="{00000000-0008-0000-0900-0000EC010000}"/>
                  </a:ext>
                </a:extLst>
              </xdr:cNvPr>
              <xdr:cNvGrpSpPr/>
            </xdr:nvGrpSpPr>
            <xdr:grpSpPr>
              <a:xfrm>
                <a:off x="18329207" y="14063299"/>
                <a:ext cx="2169673" cy="730012"/>
                <a:chOff x="18684957" y="15204109"/>
                <a:chExt cx="2165688" cy="743322"/>
              </a:xfrm>
            </xdr:grpSpPr>
            <xdr:grpSp>
              <xdr:nvGrpSpPr>
                <xdr:cNvPr id="520" name="Grupo 519">
                  <a:extLst>
                    <a:ext uri="{FF2B5EF4-FFF2-40B4-BE49-F238E27FC236}">
                      <a16:creationId xmlns:a16="http://schemas.microsoft.com/office/drawing/2014/main" id="{00000000-0008-0000-0900-000008020000}"/>
                    </a:ext>
                  </a:extLst>
                </xdr:cNvPr>
                <xdr:cNvGrpSpPr/>
              </xdr:nvGrpSpPr>
              <xdr:grpSpPr>
                <a:xfrm>
                  <a:off x="18684957" y="15204109"/>
                  <a:ext cx="2165688" cy="739441"/>
                  <a:chOff x="28351843" y="12458683"/>
                  <a:chExt cx="2168635" cy="726638"/>
                </a:xfrm>
              </xdr:grpSpPr>
              <xdr:sp macro="" textlink="">
                <xdr:nvSpPr>
                  <xdr:cNvPr id="525" name="Cheurón 524">
                    <a:extLst>
                      <a:ext uri="{FF2B5EF4-FFF2-40B4-BE49-F238E27FC236}">
                        <a16:creationId xmlns:a16="http://schemas.microsoft.com/office/drawing/2014/main" id="{00000000-0008-0000-0900-00000D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26" name="CuadroTexto 525">
                    <a:extLst>
                      <a:ext uri="{FF2B5EF4-FFF2-40B4-BE49-F238E27FC236}">
                        <a16:creationId xmlns:a16="http://schemas.microsoft.com/office/drawing/2014/main" id="{00000000-0008-0000-0900-00000E020000}"/>
                      </a:ext>
                    </a:extLst>
                  </xdr:cNvPr>
                  <xdr:cNvSpPr txBox="1"/>
                </xdr:nvSpPr>
                <xdr:spPr>
                  <a:xfrm>
                    <a:off x="2846199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T$23">
                <xdr:nvSpPr>
                  <xdr:cNvPr id="527" name="Rectángulo redondeado 526">
                    <a:extLst>
                      <a:ext uri="{FF2B5EF4-FFF2-40B4-BE49-F238E27FC236}">
                        <a16:creationId xmlns:a16="http://schemas.microsoft.com/office/drawing/2014/main" id="{00000000-0008-0000-0900-00000F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305C079-CEBE-4CE4-A785-1EEE104D9A3F}" type="TxLink">
                      <a:rPr lang="en-US" sz="1600" b="1" i="0" u="none" strike="noStrike">
                        <a:solidFill>
                          <a:srgbClr val="FFFF00"/>
                        </a:solidFill>
                        <a:latin typeface="Century Gothic"/>
                      </a:rPr>
                      <a:pPr algn="ctr"/>
                      <a:t>0,0%</a:t>
                    </a:fld>
                    <a:endParaRPr lang="es-CO" sz="7200">
                      <a:solidFill>
                        <a:srgbClr val="FFFF00"/>
                      </a:solidFill>
                    </a:endParaRPr>
                  </a:p>
                </xdr:txBody>
              </xdr:sp>
            </xdr:grpSp>
            <xdr:grpSp>
              <xdr:nvGrpSpPr>
                <xdr:cNvPr id="521" name="Grupo 520">
                  <a:extLst>
                    <a:ext uri="{FF2B5EF4-FFF2-40B4-BE49-F238E27FC236}">
                      <a16:creationId xmlns:a16="http://schemas.microsoft.com/office/drawing/2014/main" id="{00000000-0008-0000-0900-000009020000}"/>
                    </a:ext>
                  </a:extLst>
                </xdr:cNvPr>
                <xdr:cNvGrpSpPr/>
              </xdr:nvGrpSpPr>
              <xdr:grpSpPr>
                <a:xfrm>
                  <a:off x="19902520" y="15671577"/>
                  <a:ext cx="825525" cy="275854"/>
                  <a:chOff x="19911179" y="15782847"/>
                  <a:chExt cx="825525" cy="275854"/>
                </a:xfrm>
              </xdr:grpSpPr>
              <xdr:sp macro="" textlink="">
                <xdr:nvSpPr>
                  <xdr:cNvPr id="522" name="CuadroTexto 521">
                    <a:extLst>
                      <a:ext uri="{FF2B5EF4-FFF2-40B4-BE49-F238E27FC236}">
                        <a16:creationId xmlns:a16="http://schemas.microsoft.com/office/drawing/2014/main" id="{00000000-0008-0000-0900-00000A020000}"/>
                      </a:ext>
                    </a:extLst>
                  </xdr:cNvPr>
                  <xdr:cNvSpPr txBox="1"/>
                </xdr:nvSpPr>
                <xdr:spPr>
                  <a:xfrm>
                    <a:off x="19911179" y="1578477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3">
                <xdr:nvSpPr>
                  <xdr:cNvPr id="523" name="Rectángulo 522">
                    <a:extLst>
                      <a:ext uri="{FF2B5EF4-FFF2-40B4-BE49-F238E27FC236}">
                        <a16:creationId xmlns:a16="http://schemas.microsoft.com/office/drawing/2014/main" id="{00000000-0008-0000-0900-00000B020000}"/>
                      </a:ext>
                    </a:extLst>
                  </xdr:cNvPr>
                  <xdr:cNvSpPr/>
                </xdr:nvSpPr>
                <xdr:spPr>
                  <a:xfrm>
                    <a:off x="19963884" y="1578284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A417C47E-5094-47EE-B575-18F63F53B713}"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3">
                <xdr:nvSpPr>
                  <xdr:cNvPr id="524" name="Rectángulo 523">
                    <a:extLst>
                      <a:ext uri="{FF2B5EF4-FFF2-40B4-BE49-F238E27FC236}">
                        <a16:creationId xmlns:a16="http://schemas.microsoft.com/office/drawing/2014/main" id="{00000000-0008-0000-0900-00000C020000}"/>
                      </a:ext>
                    </a:extLst>
                  </xdr:cNvPr>
                  <xdr:cNvSpPr/>
                </xdr:nvSpPr>
                <xdr:spPr>
                  <a:xfrm>
                    <a:off x="20249880" y="1578284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DFB5E7AF-45BE-49AD-B7E5-77A1D0997A98}" type="TxLink">
                      <a:rPr lang="en-US" sz="1100" b="1" i="0" u="none" strike="noStrike">
                        <a:solidFill>
                          <a:srgbClr val="FFFF00"/>
                        </a:solidFill>
                        <a:latin typeface="Century Gothic"/>
                      </a:rPr>
                      <a:pPr algn="ctr"/>
                      <a:t>40</a:t>
                    </a:fld>
                    <a:endParaRPr lang="es-CO" sz="1100" b="1">
                      <a:solidFill>
                        <a:srgbClr val="FFFF00"/>
                      </a:solidFill>
                    </a:endParaRPr>
                  </a:p>
                </xdr:txBody>
              </xdr:sp>
            </xdr:grpSp>
          </xdr:grpSp>
          <xdr:grpSp>
            <xdr:nvGrpSpPr>
              <xdr:cNvPr id="493" name="Grupo 492">
                <a:extLst>
                  <a:ext uri="{FF2B5EF4-FFF2-40B4-BE49-F238E27FC236}">
                    <a16:creationId xmlns:a16="http://schemas.microsoft.com/office/drawing/2014/main" id="{00000000-0008-0000-0900-0000ED010000}"/>
                  </a:ext>
                </a:extLst>
              </xdr:cNvPr>
              <xdr:cNvGrpSpPr/>
            </xdr:nvGrpSpPr>
            <xdr:grpSpPr>
              <a:xfrm>
                <a:off x="14430259" y="14835712"/>
                <a:ext cx="2161034" cy="726200"/>
                <a:chOff x="26392196" y="14922583"/>
                <a:chExt cx="2159963" cy="753182"/>
              </a:xfrm>
            </xdr:grpSpPr>
            <xdr:grpSp>
              <xdr:nvGrpSpPr>
                <xdr:cNvPr id="512" name="Grupo 511">
                  <a:extLst>
                    <a:ext uri="{FF2B5EF4-FFF2-40B4-BE49-F238E27FC236}">
                      <a16:creationId xmlns:a16="http://schemas.microsoft.com/office/drawing/2014/main" id="{00000000-0008-0000-0900-000000020000}"/>
                    </a:ext>
                  </a:extLst>
                </xdr:cNvPr>
                <xdr:cNvGrpSpPr/>
              </xdr:nvGrpSpPr>
              <xdr:grpSpPr>
                <a:xfrm>
                  <a:off x="26392196" y="14922583"/>
                  <a:ext cx="2159963" cy="753182"/>
                  <a:chOff x="28351843" y="12458683"/>
                  <a:chExt cx="2160000" cy="726638"/>
                </a:xfrm>
              </xdr:grpSpPr>
              <xdr:sp macro="" textlink="">
                <xdr:nvSpPr>
                  <xdr:cNvPr id="517" name="Cheurón 516">
                    <a:extLst>
                      <a:ext uri="{FF2B5EF4-FFF2-40B4-BE49-F238E27FC236}">
                        <a16:creationId xmlns:a16="http://schemas.microsoft.com/office/drawing/2014/main" id="{00000000-0008-0000-0900-000005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18" name="CuadroTexto 517">
                    <a:extLst>
                      <a:ext uri="{FF2B5EF4-FFF2-40B4-BE49-F238E27FC236}">
                        <a16:creationId xmlns:a16="http://schemas.microsoft.com/office/drawing/2014/main" id="{00000000-0008-0000-0900-000006020000}"/>
                      </a:ext>
                    </a:extLst>
                  </xdr:cNvPr>
                  <xdr:cNvSpPr txBox="1"/>
                </xdr:nvSpPr>
                <xdr:spPr>
                  <a:xfrm>
                    <a:off x="2840009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T$25">
                <xdr:nvSpPr>
                  <xdr:cNvPr id="519" name="Rectángulo redondeado 518">
                    <a:extLst>
                      <a:ext uri="{FF2B5EF4-FFF2-40B4-BE49-F238E27FC236}">
                        <a16:creationId xmlns:a16="http://schemas.microsoft.com/office/drawing/2014/main" id="{00000000-0008-0000-0900-000007020000}"/>
                      </a:ext>
                    </a:extLst>
                  </xdr:cNvPr>
                  <xdr:cNvSpPr/>
                </xdr:nvSpPr>
                <xdr:spPr>
                  <a:xfrm>
                    <a:off x="29553530"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D09B62B-8EF6-46C8-B191-D836F2BE96B4}" type="TxLink">
                      <a:rPr lang="en-US" sz="1600" b="1" i="0" u="none" strike="noStrike">
                        <a:solidFill>
                          <a:srgbClr val="FFFF00"/>
                        </a:solidFill>
                        <a:latin typeface="Century Gothic"/>
                      </a:rPr>
                      <a:pPr algn="ctr"/>
                      <a:t>-</a:t>
                    </a:fld>
                    <a:endParaRPr lang="es-CO" sz="4800">
                      <a:solidFill>
                        <a:srgbClr val="FFFF00"/>
                      </a:solidFill>
                    </a:endParaRPr>
                  </a:p>
                </xdr:txBody>
              </xdr:sp>
            </xdr:grpSp>
            <xdr:grpSp>
              <xdr:nvGrpSpPr>
                <xdr:cNvPr id="513" name="Grupo 512">
                  <a:extLst>
                    <a:ext uri="{FF2B5EF4-FFF2-40B4-BE49-F238E27FC236}">
                      <a16:creationId xmlns:a16="http://schemas.microsoft.com/office/drawing/2014/main" id="{00000000-0008-0000-0900-000001020000}"/>
                    </a:ext>
                  </a:extLst>
                </xdr:cNvPr>
                <xdr:cNvGrpSpPr/>
              </xdr:nvGrpSpPr>
              <xdr:grpSpPr>
                <a:xfrm>
                  <a:off x="27609415" y="15334072"/>
                  <a:ext cx="826634" cy="289589"/>
                  <a:chOff x="21838689" y="15779592"/>
                  <a:chExt cx="825525" cy="284306"/>
                </a:xfrm>
              </xdr:grpSpPr>
              <xdr:sp macro="" textlink="">
                <xdr:nvSpPr>
                  <xdr:cNvPr id="514" name="CuadroTexto 513">
                    <a:extLst>
                      <a:ext uri="{FF2B5EF4-FFF2-40B4-BE49-F238E27FC236}">
                        <a16:creationId xmlns:a16="http://schemas.microsoft.com/office/drawing/2014/main" id="{00000000-0008-0000-0900-000002020000}"/>
                      </a:ext>
                    </a:extLst>
                  </xdr:cNvPr>
                  <xdr:cNvSpPr txBox="1"/>
                </xdr:nvSpPr>
                <xdr:spPr>
                  <a:xfrm>
                    <a:off x="21838689" y="1577959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5">
                <xdr:nvSpPr>
                  <xdr:cNvPr id="515" name="Rectángulo 514">
                    <a:extLst>
                      <a:ext uri="{FF2B5EF4-FFF2-40B4-BE49-F238E27FC236}">
                        <a16:creationId xmlns:a16="http://schemas.microsoft.com/office/drawing/2014/main" id="{00000000-0008-0000-0900-00000302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5D5C22F-28A6-496D-B4EF-9DE41592CA26}"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M$25">
                <xdr:nvSpPr>
                  <xdr:cNvPr id="516" name="Rectángulo 515">
                    <a:extLst>
                      <a:ext uri="{FF2B5EF4-FFF2-40B4-BE49-F238E27FC236}">
                        <a16:creationId xmlns:a16="http://schemas.microsoft.com/office/drawing/2014/main" id="{00000000-0008-0000-0900-00000402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D05458DC-9143-4C48-8550-A0098E3B41FF}" type="TxLink">
                      <a:rPr lang="en-US" sz="1100" b="1" i="0" u="none" strike="noStrike">
                        <a:solidFill>
                          <a:srgbClr val="FFFF00"/>
                        </a:solidFill>
                        <a:latin typeface="Century Gothic"/>
                      </a:rPr>
                      <a:pPr algn="ctr"/>
                      <a:t>0</a:t>
                    </a:fld>
                    <a:endParaRPr lang="es-CO" sz="1100" b="1">
                      <a:solidFill>
                        <a:srgbClr val="FFFF00"/>
                      </a:solidFill>
                    </a:endParaRPr>
                  </a:p>
                </xdr:txBody>
              </xdr:sp>
            </xdr:grpSp>
          </xdr:grpSp>
          <xdr:grpSp>
            <xdr:nvGrpSpPr>
              <xdr:cNvPr id="494" name="Grupo 493">
                <a:extLst>
                  <a:ext uri="{FF2B5EF4-FFF2-40B4-BE49-F238E27FC236}">
                    <a16:creationId xmlns:a16="http://schemas.microsoft.com/office/drawing/2014/main" id="{00000000-0008-0000-0900-0000EE010000}"/>
                  </a:ext>
                </a:extLst>
              </xdr:cNvPr>
              <xdr:cNvGrpSpPr/>
            </xdr:nvGrpSpPr>
            <xdr:grpSpPr>
              <a:xfrm>
                <a:off x="16379735" y="14838435"/>
                <a:ext cx="2161034" cy="726200"/>
                <a:chOff x="28340706" y="14925407"/>
                <a:chExt cx="2159963" cy="753182"/>
              </a:xfrm>
            </xdr:grpSpPr>
            <xdr:grpSp>
              <xdr:nvGrpSpPr>
                <xdr:cNvPr id="504" name="Grupo 503">
                  <a:extLst>
                    <a:ext uri="{FF2B5EF4-FFF2-40B4-BE49-F238E27FC236}">
                      <a16:creationId xmlns:a16="http://schemas.microsoft.com/office/drawing/2014/main" id="{00000000-0008-0000-0900-0000F8010000}"/>
                    </a:ext>
                  </a:extLst>
                </xdr:cNvPr>
                <xdr:cNvGrpSpPr/>
              </xdr:nvGrpSpPr>
              <xdr:grpSpPr>
                <a:xfrm>
                  <a:off x="28340706" y="14925407"/>
                  <a:ext cx="2159963" cy="753182"/>
                  <a:chOff x="28351843" y="12458683"/>
                  <a:chExt cx="2160000" cy="726638"/>
                </a:xfrm>
              </xdr:grpSpPr>
              <xdr:sp macro="" textlink="">
                <xdr:nvSpPr>
                  <xdr:cNvPr id="509" name="Cheurón 508">
                    <a:extLst>
                      <a:ext uri="{FF2B5EF4-FFF2-40B4-BE49-F238E27FC236}">
                        <a16:creationId xmlns:a16="http://schemas.microsoft.com/office/drawing/2014/main" id="{00000000-0008-0000-0900-0000FD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10" name="CuadroTexto 509">
                    <a:extLst>
                      <a:ext uri="{FF2B5EF4-FFF2-40B4-BE49-F238E27FC236}">
                        <a16:creationId xmlns:a16="http://schemas.microsoft.com/office/drawing/2014/main" id="{00000000-0008-0000-0900-0000FE010000}"/>
                      </a:ext>
                    </a:extLst>
                  </xdr:cNvPr>
                  <xdr:cNvSpPr txBox="1"/>
                </xdr:nvSpPr>
                <xdr:spPr>
                  <a:xfrm>
                    <a:off x="2842117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T$26">
                <xdr:nvSpPr>
                  <xdr:cNvPr id="511" name="Rectángulo redondeado 510">
                    <a:extLst>
                      <a:ext uri="{FF2B5EF4-FFF2-40B4-BE49-F238E27FC236}">
                        <a16:creationId xmlns:a16="http://schemas.microsoft.com/office/drawing/2014/main" id="{00000000-0008-0000-0900-0000FF010000}"/>
                      </a:ext>
                    </a:extLst>
                  </xdr:cNvPr>
                  <xdr:cNvSpPr/>
                </xdr:nvSpPr>
                <xdr:spPr>
                  <a:xfrm>
                    <a:off x="29539922" y="1256542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4D7F0D4-E60E-4C48-AC44-54CDA71F0EE6}" type="TxLink">
                      <a:rPr lang="en-US" sz="1600" b="1" i="0" u="none" strike="noStrike">
                        <a:solidFill>
                          <a:srgbClr val="FFFF00"/>
                        </a:solidFill>
                        <a:latin typeface="Century Gothic"/>
                      </a:rPr>
                      <a:pPr algn="ctr"/>
                      <a:t>21,7%</a:t>
                    </a:fld>
                    <a:endParaRPr lang="es-CO" sz="6000">
                      <a:solidFill>
                        <a:srgbClr val="FFFF00"/>
                      </a:solidFill>
                    </a:endParaRPr>
                  </a:p>
                </xdr:txBody>
              </xdr:sp>
            </xdr:grpSp>
            <xdr:grpSp>
              <xdr:nvGrpSpPr>
                <xdr:cNvPr id="505" name="Grupo 504">
                  <a:extLst>
                    <a:ext uri="{FF2B5EF4-FFF2-40B4-BE49-F238E27FC236}">
                      <a16:creationId xmlns:a16="http://schemas.microsoft.com/office/drawing/2014/main" id="{00000000-0008-0000-0900-0000F9010000}"/>
                    </a:ext>
                  </a:extLst>
                </xdr:cNvPr>
                <xdr:cNvGrpSpPr/>
              </xdr:nvGrpSpPr>
              <xdr:grpSpPr>
                <a:xfrm>
                  <a:off x="29592724" y="15346919"/>
                  <a:ext cx="826634" cy="280980"/>
                  <a:chOff x="21838689" y="15788044"/>
                  <a:chExt cx="825525" cy="275854"/>
                </a:xfrm>
              </xdr:grpSpPr>
              <xdr:sp macro="" textlink="">
                <xdr:nvSpPr>
                  <xdr:cNvPr id="506" name="CuadroTexto 505">
                    <a:extLst>
                      <a:ext uri="{FF2B5EF4-FFF2-40B4-BE49-F238E27FC236}">
                        <a16:creationId xmlns:a16="http://schemas.microsoft.com/office/drawing/2014/main" id="{00000000-0008-0000-0900-0000FA010000}"/>
                      </a:ext>
                    </a:extLst>
                  </xdr:cNvPr>
                  <xdr:cNvSpPr txBox="1"/>
                </xdr:nvSpPr>
                <xdr:spPr>
                  <a:xfrm>
                    <a:off x="21838689" y="1578997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6">
                <xdr:nvSpPr>
                  <xdr:cNvPr id="507" name="Rectángulo 506">
                    <a:extLst>
                      <a:ext uri="{FF2B5EF4-FFF2-40B4-BE49-F238E27FC236}">
                        <a16:creationId xmlns:a16="http://schemas.microsoft.com/office/drawing/2014/main" id="{00000000-0008-0000-0900-0000FB01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9BDD05E-AB19-4DBA-9CBB-D578AD9F02EB}" type="TxLink">
                      <a:rPr lang="en-US" sz="1100" b="1" i="0" u="none" strike="noStrike">
                        <a:solidFill>
                          <a:srgbClr val="FFFF00"/>
                        </a:solidFill>
                        <a:latin typeface="Century Gothic"/>
                      </a:rPr>
                      <a:pPr algn="ctr"/>
                      <a:t>5</a:t>
                    </a:fld>
                    <a:endParaRPr lang="es-CO" sz="1100" b="1">
                      <a:solidFill>
                        <a:srgbClr val="FFFF00"/>
                      </a:solidFill>
                    </a:endParaRPr>
                  </a:p>
                </xdr:txBody>
              </xdr:sp>
              <xdr:sp macro="" textlink="$M$26">
                <xdr:nvSpPr>
                  <xdr:cNvPr id="508" name="Rectángulo 507">
                    <a:extLst>
                      <a:ext uri="{FF2B5EF4-FFF2-40B4-BE49-F238E27FC236}">
                        <a16:creationId xmlns:a16="http://schemas.microsoft.com/office/drawing/2014/main" id="{00000000-0008-0000-0900-0000FC01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83FE293-E4BC-4AC4-A546-D4B000482F4A}" type="TxLink">
                      <a:rPr lang="en-US" sz="1100" b="1" i="0" u="none" strike="noStrike">
                        <a:solidFill>
                          <a:srgbClr val="FFFF00"/>
                        </a:solidFill>
                        <a:latin typeface="Century Gothic"/>
                      </a:rPr>
                      <a:pPr algn="ctr"/>
                      <a:t>23</a:t>
                    </a:fld>
                    <a:endParaRPr lang="es-CO" sz="1100" b="1">
                      <a:solidFill>
                        <a:srgbClr val="FFFF00"/>
                      </a:solidFill>
                    </a:endParaRPr>
                  </a:p>
                </xdr:txBody>
              </xdr:sp>
            </xdr:grpSp>
          </xdr:grpSp>
          <xdr:grpSp>
            <xdr:nvGrpSpPr>
              <xdr:cNvPr id="495" name="Grupo 494">
                <a:extLst>
                  <a:ext uri="{FF2B5EF4-FFF2-40B4-BE49-F238E27FC236}">
                    <a16:creationId xmlns:a16="http://schemas.microsoft.com/office/drawing/2014/main" id="{00000000-0008-0000-0900-0000EF010000}"/>
                  </a:ext>
                </a:extLst>
              </xdr:cNvPr>
              <xdr:cNvGrpSpPr/>
            </xdr:nvGrpSpPr>
            <xdr:grpSpPr>
              <a:xfrm>
                <a:off x="18342816" y="14841155"/>
                <a:ext cx="2161034" cy="726200"/>
                <a:chOff x="30302815" y="14928228"/>
                <a:chExt cx="2159963" cy="753182"/>
              </a:xfrm>
            </xdr:grpSpPr>
            <xdr:grpSp>
              <xdr:nvGrpSpPr>
                <xdr:cNvPr id="496" name="Grupo 495">
                  <a:extLst>
                    <a:ext uri="{FF2B5EF4-FFF2-40B4-BE49-F238E27FC236}">
                      <a16:creationId xmlns:a16="http://schemas.microsoft.com/office/drawing/2014/main" id="{00000000-0008-0000-0900-0000F0010000}"/>
                    </a:ext>
                  </a:extLst>
                </xdr:cNvPr>
                <xdr:cNvGrpSpPr/>
              </xdr:nvGrpSpPr>
              <xdr:grpSpPr>
                <a:xfrm>
                  <a:off x="30302815" y="14928228"/>
                  <a:ext cx="2159963" cy="753182"/>
                  <a:chOff x="28351843" y="12458683"/>
                  <a:chExt cx="2160000" cy="726638"/>
                </a:xfrm>
              </xdr:grpSpPr>
              <xdr:sp macro="" textlink="">
                <xdr:nvSpPr>
                  <xdr:cNvPr id="501" name="Cheurón 500">
                    <a:extLst>
                      <a:ext uri="{FF2B5EF4-FFF2-40B4-BE49-F238E27FC236}">
                        <a16:creationId xmlns:a16="http://schemas.microsoft.com/office/drawing/2014/main" id="{00000000-0008-0000-0900-0000F501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02" name="CuadroTexto 501">
                    <a:extLst>
                      <a:ext uri="{FF2B5EF4-FFF2-40B4-BE49-F238E27FC236}">
                        <a16:creationId xmlns:a16="http://schemas.microsoft.com/office/drawing/2014/main" id="{00000000-0008-0000-0900-0000F6010000}"/>
                      </a:ext>
                    </a:extLst>
                  </xdr:cNvPr>
                  <xdr:cNvSpPr txBox="1"/>
                </xdr:nvSpPr>
                <xdr:spPr>
                  <a:xfrm>
                    <a:off x="28393960"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T$27">
                <xdr:nvSpPr>
                  <xdr:cNvPr id="503" name="Rectángulo redondeado 502">
                    <a:extLst>
                      <a:ext uri="{FF2B5EF4-FFF2-40B4-BE49-F238E27FC236}">
                        <a16:creationId xmlns:a16="http://schemas.microsoft.com/office/drawing/2014/main" id="{00000000-0008-0000-0900-0000F7010000}"/>
                      </a:ext>
                    </a:extLst>
                  </xdr:cNvPr>
                  <xdr:cNvSpPr/>
                </xdr:nvSpPr>
                <xdr:spPr>
                  <a:xfrm>
                    <a:off x="29557264" y="1255351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1D5E610-4F66-48DF-B138-4A4B586539B0}" type="TxLink">
                      <a:rPr lang="en-US" sz="1600" b="1" i="0" u="none" strike="noStrike">
                        <a:solidFill>
                          <a:srgbClr val="FFFF00"/>
                        </a:solidFill>
                        <a:latin typeface="Century Gothic"/>
                      </a:rPr>
                      <a:pPr algn="ctr"/>
                      <a:t>-</a:t>
                    </a:fld>
                    <a:endParaRPr lang="es-CO" sz="7200">
                      <a:solidFill>
                        <a:srgbClr val="FFFF00"/>
                      </a:solidFill>
                    </a:endParaRPr>
                  </a:p>
                </xdr:txBody>
              </xdr:sp>
            </xdr:grpSp>
            <xdr:grpSp>
              <xdr:nvGrpSpPr>
                <xdr:cNvPr id="497" name="Grupo 496">
                  <a:extLst>
                    <a:ext uri="{FF2B5EF4-FFF2-40B4-BE49-F238E27FC236}">
                      <a16:creationId xmlns:a16="http://schemas.microsoft.com/office/drawing/2014/main" id="{00000000-0008-0000-0900-0000F1010000}"/>
                    </a:ext>
                  </a:extLst>
                </xdr:cNvPr>
                <xdr:cNvGrpSpPr/>
              </xdr:nvGrpSpPr>
              <xdr:grpSpPr>
                <a:xfrm>
                  <a:off x="31523122" y="15351156"/>
                  <a:ext cx="826634" cy="280980"/>
                  <a:chOff x="21838689" y="15788044"/>
                  <a:chExt cx="825525" cy="275854"/>
                </a:xfrm>
              </xdr:grpSpPr>
              <xdr:sp macro="" textlink="">
                <xdr:nvSpPr>
                  <xdr:cNvPr id="498" name="CuadroTexto 497">
                    <a:extLst>
                      <a:ext uri="{FF2B5EF4-FFF2-40B4-BE49-F238E27FC236}">
                        <a16:creationId xmlns:a16="http://schemas.microsoft.com/office/drawing/2014/main" id="{00000000-0008-0000-0900-0000F2010000}"/>
                      </a:ext>
                    </a:extLst>
                  </xdr:cNvPr>
                  <xdr:cNvSpPr txBox="1"/>
                </xdr:nvSpPr>
                <xdr:spPr>
                  <a:xfrm>
                    <a:off x="21838689" y="15789976"/>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N$27">
                <xdr:nvSpPr>
                  <xdr:cNvPr id="499" name="Rectángulo 498">
                    <a:extLst>
                      <a:ext uri="{FF2B5EF4-FFF2-40B4-BE49-F238E27FC236}">
                        <a16:creationId xmlns:a16="http://schemas.microsoft.com/office/drawing/2014/main" id="{00000000-0008-0000-0900-0000F301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DB9EAD1-39AB-47FF-A707-E41E7FC7DE05}"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M$27">
                <xdr:nvSpPr>
                  <xdr:cNvPr id="500" name="Rectángulo 499">
                    <a:extLst>
                      <a:ext uri="{FF2B5EF4-FFF2-40B4-BE49-F238E27FC236}">
                        <a16:creationId xmlns:a16="http://schemas.microsoft.com/office/drawing/2014/main" id="{00000000-0008-0000-0900-0000F401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64E8648E-E6F4-429A-9F26-355CAE118482}" type="TxLink">
                      <a:rPr lang="en-US" sz="1100" b="1" i="0" u="none" strike="noStrike">
                        <a:solidFill>
                          <a:srgbClr val="FFFF00"/>
                        </a:solidFill>
                        <a:latin typeface="Century Gothic"/>
                      </a:rPr>
                      <a:pPr algn="ctr"/>
                      <a:t>-</a:t>
                    </a:fld>
                    <a:endParaRPr lang="es-CO" sz="1100" b="1">
                      <a:solidFill>
                        <a:srgbClr val="FFFF00"/>
                      </a:solidFill>
                    </a:endParaRPr>
                  </a:p>
                </xdr:txBody>
              </xdr:sp>
            </xdr:grpSp>
          </xdr:grpSp>
        </xdr:grpSp>
      </xdr:grp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176891</xdr:colOff>
      <xdr:row>35</xdr:row>
      <xdr:rowOff>95250</xdr:rowOff>
    </xdr:from>
    <xdr:to>
      <xdr:col>12</xdr:col>
      <xdr:colOff>261257</xdr:colOff>
      <xdr:row>39</xdr:row>
      <xdr:rowOff>113550</xdr:rowOff>
    </xdr:to>
    <xdr:grpSp>
      <xdr:nvGrpSpPr>
        <xdr:cNvPr id="96" name="Grupo 95">
          <a:extLst>
            <a:ext uri="{FF2B5EF4-FFF2-40B4-BE49-F238E27FC236}">
              <a16:creationId xmlns:a16="http://schemas.microsoft.com/office/drawing/2014/main" id="{00000000-0008-0000-0A00-000060000000}"/>
            </a:ext>
          </a:extLst>
        </xdr:cNvPr>
        <xdr:cNvGrpSpPr/>
      </xdr:nvGrpSpPr>
      <xdr:grpSpPr>
        <a:xfrm>
          <a:off x="242205" y="9446079"/>
          <a:ext cx="11296652" cy="714985"/>
          <a:chOff x="244927" y="10477499"/>
          <a:chExt cx="10970079" cy="834728"/>
        </a:xfrm>
      </xdr:grpSpPr>
      <xdr:sp macro="" textlink="">
        <xdr:nvSpPr>
          <xdr:cNvPr id="119" name="Rectángulo 118">
            <a:extLst>
              <a:ext uri="{FF2B5EF4-FFF2-40B4-BE49-F238E27FC236}">
                <a16:creationId xmlns:a16="http://schemas.microsoft.com/office/drawing/2014/main" id="{00000000-0008-0000-0A00-000077000000}"/>
              </a:ext>
            </a:extLst>
          </xdr:cNvPr>
          <xdr:cNvSpPr/>
        </xdr:nvSpPr>
        <xdr:spPr>
          <a:xfrm>
            <a:off x="244927" y="10477499"/>
            <a:ext cx="10011600" cy="828000"/>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tx1"/>
                </a:solidFill>
                <a:latin typeface="Century Gothic" panose="020B0502020202020204" pitchFamily="34" charset="0"/>
              </a:rPr>
              <a:t>PROPORCIÓN DE AUDITORÍAS CON ENFOQUE EN RIESGOS CON PLAN DE MEJORA,</a:t>
            </a:r>
            <a:r>
              <a:rPr lang="es-CO" sz="1600" b="1" baseline="0">
                <a:solidFill>
                  <a:schemeClr val="tx1"/>
                </a:solidFill>
                <a:latin typeface="Century Gothic" panose="020B0502020202020204" pitchFamily="34" charset="0"/>
              </a:rPr>
              <a:t> </a:t>
            </a:r>
          </a:p>
          <a:p>
            <a:pPr algn="ctr"/>
            <a:r>
              <a:rPr lang="es-CO" sz="1600" b="1">
                <a:solidFill>
                  <a:schemeClr val="tx1"/>
                </a:solidFill>
                <a:latin typeface="Century Gothic" panose="020B0502020202020204" pitchFamily="34" charset="0"/>
              </a:rPr>
              <a:t>ESE METROSALUD, 2019 - 2023</a:t>
            </a:r>
          </a:p>
        </xdr:txBody>
      </xdr:sp>
      <xdr:grpSp>
        <xdr:nvGrpSpPr>
          <xdr:cNvPr id="95" name="Grupo 94">
            <a:extLst>
              <a:ext uri="{FF2B5EF4-FFF2-40B4-BE49-F238E27FC236}">
                <a16:creationId xmlns:a16="http://schemas.microsoft.com/office/drawing/2014/main" id="{00000000-0008-0000-0A00-00005F000000}"/>
              </a:ext>
            </a:extLst>
          </xdr:cNvPr>
          <xdr:cNvGrpSpPr/>
        </xdr:nvGrpSpPr>
        <xdr:grpSpPr>
          <a:xfrm>
            <a:off x="10300606" y="10477499"/>
            <a:ext cx="914400" cy="834728"/>
            <a:chOff x="10300606" y="10477499"/>
            <a:chExt cx="914400" cy="834728"/>
          </a:xfrm>
        </xdr:grpSpPr>
        <xdr:sp macro="" textlink="$M$32">
          <xdr:nvSpPr>
            <xdr:cNvPr id="118" name="Rectángulo 117">
              <a:extLst>
                <a:ext uri="{FF2B5EF4-FFF2-40B4-BE49-F238E27FC236}">
                  <a16:creationId xmlns:a16="http://schemas.microsoft.com/office/drawing/2014/main" id="{00000000-0008-0000-0A00-000076000000}"/>
                </a:ext>
              </a:extLst>
            </xdr:cNvPr>
            <xdr:cNvSpPr/>
          </xdr:nvSpPr>
          <xdr:spPr>
            <a:xfrm>
              <a:off x="10300606" y="10477499"/>
              <a:ext cx="914400" cy="828000"/>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6ADC6A4-37EC-4CAC-A7BC-2B14B3A1D8A8}" type="TxLink">
                <a:rPr lang="en-US" sz="2000" b="1" i="0" u="none" strike="noStrike">
                  <a:solidFill>
                    <a:srgbClr val="FF0000"/>
                  </a:solidFill>
                  <a:latin typeface="Century Gothic"/>
                </a:rPr>
                <a:pPr algn="ctr"/>
                <a:t>47,1%</a:t>
              </a:fld>
              <a:endParaRPr lang="es-CO" sz="3600">
                <a:solidFill>
                  <a:srgbClr val="FF0000"/>
                </a:solidFill>
              </a:endParaRPr>
            </a:p>
          </xdr:txBody>
        </xdr:sp>
        <xdr:grpSp>
          <xdr:nvGrpSpPr>
            <xdr:cNvPr id="14" name="Grupo 13">
              <a:extLst>
                <a:ext uri="{FF2B5EF4-FFF2-40B4-BE49-F238E27FC236}">
                  <a16:creationId xmlns:a16="http://schemas.microsoft.com/office/drawing/2014/main" id="{00000000-0008-0000-0A00-00000E000000}"/>
                </a:ext>
              </a:extLst>
            </xdr:cNvPr>
            <xdr:cNvGrpSpPr/>
          </xdr:nvGrpSpPr>
          <xdr:grpSpPr>
            <a:xfrm>
              <a:off x="10366809" y="11031871"/>
              <a:ext cx="770852" cy="280356"/>
              <a:chOff x="10380416" y="11031871"/>
              <a:chExt cx="770852" cy="280356"/>
            </a:xfrm>
          </xdr:grpSpPr>
          <xdr:sp macro="" textlink="$L$32">
            <xdr:nvSpPr>
              <xdr:cNvPr id="10" name="Rectángulo 9">
                <a:extLst>
                  <a:ext uri="{FF2B5EF4-FFF2-40B4-BE49-F238E27FC236}">
                    <a16:creationId xmlns:a16="http://schemas.microsoft.com/office/drawing/2014/main" id="{00000000-0008-0000-0A00-00000A000000}"/>
                  </a:ext>
                </a:extLst>
              </xdr:cNvPr>
              <xdr:cNvSpPr/>
            </xdr:nvSpPr>
            <xdr:spPr>
              <a:xfrm>
                <a:off x="10408548"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3CD5905-36B8-4149-9E82-A286585D49F8}" type="TxLink">
                  <a:rPr lang="en-US" sz="1100" b="1" i="0" u="none" strike="noStrike">
                    <a:solidFill>
                      <a:srgbClr val="FF0000"/>
                    </a:solidFill>
                    <a:latin typeface="Century Gothic"/>
                  </a:rPr>
                  <a:pPr algn="ctr"/>
                  <a:t>40</a:t>
                </a:fld>
                <a:endParaRPr lang="es-CO" sz="1100">
                  <a:solidFill>
                    <a:srgbClr val="FF0000"/>
                  </a:solidFill>
                </a:endParaRPr>
              </a:p>
            </xdr:txBody>
          </xdr:sp>
          <xdr:sp macro="" textlink="">
            <xdr:nvSpPr>
              <xdr:cNvPr id="11" name="CuadroTexto 10">
                <a:extLst>
                  <a:ext uri="{FF2B5EF4-FFF2-40B4-BE49-F238E27FC236}">
                    <a16:creationId xmlns:a16="http://schemas.microsoft.com/office/drawing/2014/main" id="{00000000-0008-0000-0A00-00000B000000}"/>
                  </a:ext>
                </a:extLst>
              </xdr:cNvPr>
              <xdr:cNvSpPr txBox="1"/>
            </xdr:nvSpPr>
            <xdr:spPr>
              <a:xfrm>
                <a:off x="10380416" y="1103187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sp macro="" textlink="$J$32">
            <xdr:nvSpPr>
              <xdr:cNvPr id="298" name="Rectángulo 297">
                <a:extLst>
                  <a:ext uri="{FF2B5EF4-FFF2-40B4-BE49-F238E27FC236}">
                    <a16:creationId xmlns:a16="http://schemas.microsoft.com/office/drawing/2014/main" id="{00000000-0008-0000-0A00-00002A010000}"/>
                  </a:ext>
                </a:extLst>
              </xdr:cNvPr>
              <xdr:cNvSpPr/>
            </xdr:nvSpPr>
            <xdr:spPr>
              <a:xfrm>
                <a:off x="10697935"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C9C6B0-CB03-49F6-9FE9-A14FD43C86A1}" type="TxLink">
                  <a:rPr lang="en-US" sz="1100" b="1" i="0" u="none" strike="noStrike">
                    <a:solidFill>
                      <a:srgbClr val="FF0000"/>
                    </a:solidFill>
                    <a:latin typeface="Century Gothic"/>
                  </a:rPr>
                  <a:pPr algn="ctr"/>
                  <a:t>85</a:t>
                </a:fld>
                <a:endParaRPr lang="es-CO" sz="1100">
                  <a:solidFill>
                    <a:srgbClr val="FF0000"/>
                  </a:solidFill>
                </a:endParaRPr>
              </a:p>
            </xdr:txBody>
          </xdr:sp>
        </xdr:grpSp>
      </xdr:grpSp>
    </xdr:grpSp>
    <xdr:clientData/>
  </xdr:twoCellAnchor>
  <xdr:twoCellAnchor editAs="absolute">
    <xdr:from>
      <xdr:col>1</xdr:col>
      <xdr:colOff>204106</xdr:colOff>
      <xdr:row>40</xdr:row>
      <xdr:rowOff>13601</xdr:rowOff>
    </xdr:from>
    <xdr:to>
      <xdr:col>12</xdr:col>
      <xdr:colOff>305592</xdr:colOff>
      <xdr:row>73</xdr:row>
      <xdr:rowOff>68031</xdr:rowOff>
    </xdr:to>
    <xdr:sp macro="" textlink="">
      <xdr:nvSpPr>
        <xdr:cNvPr id="176" name="Rectángulo redondeado 175">
          <a:extLst>
            <a:ext uri="{FF2B5EF4-FFF2-40B4-BE49-F238E27FC236}">
              <a16:creationId xmlns:a16="http://schemas.microsoft.com/office/drawing/2014/main" id="{00000000-0008-0000-0A00-0000B0000000}"/>
            </a:ext>
          </a:extLst>
        </xdr:cNvPr>
        <xdr:cNvSpPr/>
      </xdr:nvSpPr>
      <xdr:spPr>
        <a:xfrm>
          <a:off x="272142" y="10504708"/>
          <a:ext cx="10987200" cy="6789966"/>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absolute">
    <xdr:from>
      <xdr:col>1</xdr:col>
      <xdr:colOff>307500</xdr:colOff>
      <xdr:row>40</xdr:row>
      <xdr:rowOff>27221</xdr:rowOff>
    </xdr:from>
    <xdr:to>
      <xdr:col>12</xdr:col>
      <xdr:colOff>274048</xdr:colOff>
      <xdr:row>73</xdr:row>
      <xdr:rowOff>10145</xdr:rowOff>
    </xdr:to>
    <xdr:grpSp>
      <xdr:nvGrpSpPr>
        <xdr:cNvPr id="670" name="Grupo 669">
          <a:extLst>
            <a:ext uri="{FF2B5EF4-FFF2-40B4-BE49-F238E27FC236}">
              <a16:creationId xmlns:a16="http://schemas.microsoft.com/office/drawing/2014/main" id="{00000000-0008-0000-0A00-00009E020000}"/>
            </a:ext>
          </a:extLst>
        </xdr:cNvPr>
        <xdr:cNvGrpSpPr/>
      </xdr:nvGrpSpPr>
      <xdr:grpSpPr>
        <a:xfrm>
          <a:off x="372814" y="10248907"/>
          <a:ext cx="11178834" cy="5730581"/>
          <a:chOff x="376735" y="11556240"/>
          <a:chExt cx="10849834" cy="6841042"/>
        </a:xfrm>
      </xdr:grpSpPr>
      <xdr:grpSp>
        <xdr:nvGrpSpPr>
          <xdr:cNvPr id="92" name="Grupo 91">
            <a:extLst>
              <a:ext uri="{FF2B5EF4-FFF2-40B4-BE49-F238E27FC236}">
                <a16:creationId xmlns:a16="http://schemas.microsoft.com/office/drawing/2014/main" id="{00000000-0008-0000-0A00-00005C000000}"/>
              </a:ext>
            </a:extLst>
          </xdr:cNvPr>
          <xdr:cNvGrpSpPr/>
        </xdr:nvGrpSpPr>
        <xdr:grpSpPr>
          <a:xfrm>
            <a:off x="384917" y="11556240"/>
            <a:ext cx="10719120" cy="1639731"/>
            <a:chOff x="383720" y="11430000"/>
            <a:chExt cx="10721518" cy="1610348"/>
          </a:xfrm>
        </xdr:grpSpPr>
        <xdr:grpSp>
          <xdr:nvGrpSpPr>
            <xdr:cNvPr id="72" name="Grupo 71">
              <a:extLst>
                <a:ext uri="{FF2B5EF4-FFF2-40B4-BE49-F238E27FC236}">
                  <a16:creationId xmlns:a16="http://schemas.microsoft.com/office/drawing/2014/main" id="{00000000-0008-0000-0A00-000048000000}"/>
                </a:ext>
              </a:extLst>
            </xdr:cNvPr>
            <xdr:cNvGrpSpPr/>
          </xdr:nvGrpSpPr>
          <xdr:grpSpPr>
            <a:xfrm>
              <a:off x="383720" y="11430000"/>
              <a:ext cx="720000" cy="1610348"/>
              <a:chOff x="27391177" y="8324853"/>
              <a:chExt cx="720000" cy="1610348"/>
            </a:xfrm>
          </xdr:grpSpPr>
          <xdr:sp macro="" textlink="">
            <xdr:nvSpPr>
              <xdr:cNvPr id="73" name="Rectángulo 72">
                <a:extLst>
                  <a:ext uri="{FF2B5EF4-FFF2-40B4-BE49-F238E27FC236}">
                    <a16:creationId xmlns:a16="http://schemas.microsoft.com/office/drawing/2014/main" id="{00000000-0008-0000-0A00-000049000000}"/>
                  </a:ext>
                </a:extLst>
              </xdr:cNvPr>
              <xdr:cNvSpPr/>
            </xdr:nvSpPr>
            <xdr:spPr>
              <a:xfrm>
                <a:off x="27391177" y="8450034"/>
                <a:ext cx="720000"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74" name="CuadroTexto 73">
                <a:extLst>
                  <a:ext uri="{FF2B5EF4-FFF2-40B4-BE49-F238E27FC236}">
                    <a16:creationId xmlns:a16="http://schemas.microsoft.com/office/drawing/2014/main" id="{00000000-0008-0000-0A00-00004A000000}"/>
                  </a:ext>
                </a:extLst>
              </xdr:cNvPr>
              <xdr:cNvSpPr txBox="1"/>
            </xdr:nvSpPr>
            <xdr:spPr>
              <a:xfrm rot="16200000">
                <a:off x="26944324"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sp macro="" textlink="">
          <xdr:nvSpPr>
            <xdr:cNvPr id="122" name="Flecha abajo 121">
              <a:extLst>
                <a:ext uri="{FF2B5EF4-FFF2-40B4-BE49-F238E27FC236}">
                  <a16:creationId xmlns:a16="http://schemas.microsoft.com/office/drawing/2014/main" id="{00000000-0008-0000-0A00-00007A000000}"/>
                </a:ext>
              </a:extLst>
            </xdr:cNvPr>
            <xdr:cNvSpPr/>
          </xdr:nvSpPr>
          <xdr:spPr>
            <a:xfrm>
              <a:off x="5788521" y="12722678"/>
              <a:ext cx="468000" cy="288000"/>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1" name="Grupo 60">
              <a:extLst>
                <a:ext uri="{FF2B5EF4-FFF2-40B4-BE49-F238E27FC236}">
                  <a16:creationId xmlns:a16="http://schemas.microsoft.com/office/drawing/2014/main" id="{00000000-0008-0000-0A00-00003D000000}"/>
                </a:ext>
              </a:extLst>
            </xdr:cNvPr>
            <xdr:cNvGrpSpPr/>
          </xdr:nvGrpSpPr>
          <xdr:grpSpPr>
            <a:xfrm>
              <a:off x="1202906" y="11911679"/>
              <a:ext cx="2672107" cy="720001"/>
              <a:chOff x="1202906" y="11911679"/>
              <a:chExt cx="2672107" cy="720001"/>
            </a:xfrm>
          </xdr:grpSpPr>
          <xdr:grpSp>
            <xdr:nvGrpSpPr>
              <xdr:cNvPr id="67" name="Grupo 66">
                <a:extLst>
                  <a:ext uri="{FF2B5EF4-FFF2-40B4-BE49-F238E27FC236}">
                    <a16:creationId xmlns:a16="http://schemas.microsoft.com/office/drawing/2014/main" id="{00000000-0008-0000-0A00-000043000000}"/>
                  </a:ext>
                </a:extLst>
              </xdr:cNvPr>
              <xdr:cNvGrpSpPr/>
            </xdr:nvGrpSpPr>
            <xdr:grpSpPr>
              <a:xfrm>
                <a:off x="1202906" y="11911679"/>
                <a:ext cx="2672107" cy="720001"/>
                <a:chOff x="28670227" y="2081893"/>
                <a:chExt cx="2474478" cy="585107"/>
              </a:xfrm>
            </xdr:grpSpPr>
            <xdr:sp macro="" textlink="">
              <xdr:nvSpPr>
                <xdr:cNvPr id="87" name="Cheurón 86">
                  <a:extLst>
                    <a:ext uri="{FF2B5EF4-FFF2-40B4-BE49-F238E27FC236}">
                      <a16:creationId xmlns:a16="http://schemas.microsoft.com/office/drawing/2014/main" id="{00000000-0008-0000-0A00-000057000000}"/>
                    </a:ext>
                  </a:extLst>
                </xdr:cNvPr>
                <xdr:cNvSpPr/>
              </xdr:nvSpPr>
              <xdr:spPr>
                <a:xfrm>
                  <a:off x="28670227" y="2081893"/>
                  <a:ext cx="2433635"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8" name="CuadroTexto 87">
                  <a:extLst>
                    <a:ext uri="{FF2B5EF4-FFF2-40B4-BE49-F238E27FC236}">
                      <a16:creationId xmlns:a16="http://schemas.microsoft.com/office/drawing/2014/main" id="{00000000-0008-0000-0A00-000058000000}"/>
                    </a:ext>
                  </a:extLst>
                </xdr:cNvPr>
                <xdr:cNvSpPr txBox="1"/>
              </xdr:nvSpPr>
              <xdr:spPr>
                <a:xfrm>
                  <a:off x="28816955" y="2207661"/>
                  <a:ext cx="1586874"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sp macro="" textlink="$M$6">
              <xdr:nvSpPr>
                <xdr:cNvPr id="89" name="Rectángulo redondeado 88">
                  <a:extLst>
                    <a:ext uri="{FF2B5EF4-FFF2-40B4-BE49-F238E27FC236}">
                      <a16:creationId xmlns:a16="http://schemas.microsoft.com/office/drawing/2014/main" id="{00000000-0008-0000-0A00-000059000000}"/>
                    </a:ext>
                  </a:extLst>
                </xdr:cNvPr>
                <xdr:cNvSpPr/>
              </xdr:nvSpPr>
              <xdr:spPr>
                <a:xfrm>
                  <a:off x="30277931"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502EA5-E4AF-4CB0-A60E-29CE20AA7570}" type="TxLink">
                    <a:rPr lang="en-US" sz="1600" b="1" i="0" u="none" strike="noStrike">
                      <a:solidFill>
                        <a:srgbClr val="FFFF00"/>
                      </a:solidFill>
                      <a:latin typeface="Century Gothic"/>
                    </a:rPr>
                    <a:pPr algn="ctr"/>
                    <a:t>100,0%</a:t>
                  </a:fld>
                  <a:endParaRPr lang="es-CO" sz="1600">
                    <a:solidFill>
                      <a:srgbClr val="FFFF00"/>
                    </a:solidFill>
                  </a:endParaRPr>
                </a:p>
              </xdr:txBody>
            </xdr:sp>
          </xdr:grpSp>
          <xdr:grpSp>
            <xdr:nvGrpSpPr>
              <xdr:cNvPr id="60" name="Grupo 59">
                <a:extLst>
                  <a:ext uri="{FF2B5EF4-FFF2-40B4-BE49-F238E27FC236}">
                    <a16:creationId xmlns:a16="http://schemas.microsoft.com/office/drawing/2014/main" id="{00000000-0008-0000-0A00-00003C000000}"/>
                  </a:ext>
                </a:extLst>
              </xdr:cNvPr>
              <xdr:cNvGrpSpPr/>
            </xdr:nvGrpSpPr>
            <xdr:grpSpPr>
              <a:xfrm>
                <a:off x="2947049" y="12351205"/>
                <a:ext cx="770852" cy="272143"/>
                <a:chOff x="2947049" y="12351205"/>
                <a:chExt cx="770852" cy="272143"/>
              </a:xfrm>
            </xdr:grpSpPr>
            <xdr:sp macro="" textlink="$L$6">
              <xdr:nvSpPr>
                <xdr:cNvPr id="309" name="Rectángulo 308">
                  <a:extLst>
                    <a:ext uri="{FF2B5EF4-FFF2-40B4-BE49-F238E27FC236}">
                      <a16:creationId xmlns:a16="http://schemas.microsoft.com/office/drawing/2014/main" id="{00000000-0008-0000-0A00-000035010000}"/>
                    </a:ext>
                  </a:extLst>
                </xdr:cNvPr>
                <xdr:cNvSpPr/>
              </xdr:nvSpPr>
              <xdr:spPr>
                <a:xfrm>
                  <a:off x="2982686" y="1235120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658EB88-255B-4CC5-B35A-2C06EECA47DE}"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J$6">
              <xdr:nvSpPr>
                <xdr:cNvPr id="311" name="Rectángulo 310">
                  <a:extLst>
                    <a:ext uri="{FF2B5EF4-FFF2-40B4-BE49-F238E27FC236}">
                      <a16:creationId xmlns:a16="http://schemas.microsoft.com/office/drawing/2014/main" id="{00000000-0008-0000-0A00-000037010000}"/>
                    </a:ext>
                  </a:extLst>
                </xdr:cNvPr>
                <xdr:cNvSpPr/>
              </xdr:nvSpPr>
              <xdr:spPr>
                <a:xfrm>
                  <a:off x="3267441" y="1235120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AD53F0-5C1B-4311-99A9-A461A0877824}"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
              <xdr:nvSpPr>
                <xdr:cNvPr id="474" name="CuadroTexto 473">
                  <a:extLst>
                    <a:ext uri="{FF2B5EF4-FFF2-40B4-BE49-F238E27FC236}">
                      <a16:creationId xmlns:a16="http://schemas.microsoft.com/office/drawing/2014/main" id="{00000000-0008-0000-0A00-0000DA010000}"/>
                    </a:ext>
                  </a:extLst>
                </xdr:cNvPr>
                <xdr:cNvSpPr txBox="1"/>
              </xdr:nvSpPr>
              <xdr:spPr>
                <a:xfrm>
                  <a:off x="2947049" y="1235601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63" name="Grupo 62">
              <a:extLst>
                <a:ext uri="{FF2B5EF4-FFF2-40B4-BE49-F238E27FC236}">
                  <a16:creationId xmlns:a16="http://schemas.microsoft.com/office/drawing/2014/main" id="{00000000-0008-0000-0A00-00003F000000}"/>
                </a:ext>
              </a:extLst>
            </xdr:cNvPr>
            <xdr:cNvGrpSpPr/>
          </xdr:nvGrpSpPr>
          <xdr:grpSpPr>
            <a:xfrm>
              <a:off x="3627675" y="11900791"/>
              <a:ext cx="2672103" cy="725280"/>
              <a:chOff x="3627675" y="11900791"/>
              <a:chExt cx="2672103" cy="725280"/>
            </a:xfrm>
          </xdr:grpSpPr>
          <xdr:grpSp>
            <xdr:nvGrpSpPr>
              <xdr:cNvPr id="105" name="Grupo 104">
                <a:extLst>
                  <a:ext uri="{FF2B5EF4-FFF2-40B4-BE49-F238E27FC236}">
                    <a16:creationId xmlns:a16="http://schemas.microsoft.com/office/drawing/2014/main" id="{00000000-0008-0000-0A00-000069000000}"/>
                  </a:ext>
                </a:extLst>
              </xdr:cNvPr>
              <xdr:cNvGrpSpPr/>
            </xdr:nvGrpSpPr>
            <xdr:grpSpPr>
              <a:xfrm>
                <a:off x="3627675" y="11900791"/>
                <a:ext cx="2672103" cy="720000"/>
                <a:chOff x="28594637" y="2081892"/>
                <a:chExt cx="2474477" cy="585107"/>
              </a:xfrm>
            </xdr:grpSpPr>
            <xdr:sp macro="" textlink="">
              <xdr:nvSpPr>
                <xdr:cNvPr id="106" name="Cheurón 105">
                  <a:extLst>
                    <a:ext uri="{FF2B5EF4-FFF2-40B4-BE49-F238E27FC236}">
                      <a16:creationId xmlns:a16="http://schemas.microsoft.com/office/drawing/2014/main" id="{00000000-0008-0000-0A00-00006A00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07" name="CuadroTexto 106">
                  <a:extLst>
                    <a:ext uri="{FF2B5EF4-FFF2-40B4-BE49-F238E27FC236}">
                      <a16:creationId xmlns:a16="http://schemas.microsoft.com/office/drawing/2014/main" id="{00000000-0008-0000-0A00-00006B000000}"/>
                    </a:ext>
                  </a:extLst>
                </xdr:cNvPr>
                <xdr:cNvSpPr txBox="1"/>
              </xdr:nvSpPr>
              <xdr:spPr>
                <a:xfrm>
                  <a:off x="2880321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M$7">
              <xdr:nvSpPr>
                <xdr:cNvPr id="108" name="Rectángulo redondeado 107">
                  <a:extLst>
                    <a:ext uri="{FF2B5EF4-FFF2-40B4-BE49-F238E27FC236}">
                      <a16:creationId xmlns:a16="http://schemas.microsoft.com/office/drawing/2014/main" id="{00000000-0008-0000-0A00-00006C000000}"/>
                    </a:ext>
                  </a:extLst>
                </xdr:cNvPr>
                <xdr:cNvSpPr/>
              </xdr:nvSpPr>
              <xdr:spPr>
                <a:xfrm>
                  <a:off x="3020233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2695697-7DC0-48CB-B073-27C4A0513A45}" type="TxLink">
                    <a:rPr lang="en-US" sz="1600" b="1" i="0" u="none" strike="noStrike">
                      <a:solidFill>
                        <a:srgbClr val="FFFF00"/>
                      </a:solidFill>
                      <a:latin typeface="Century Gothic"/>
                    </a:rPr>
                    <a:pPr algn="ctr"/>
                    <a:t>100,0%</a:t>
                  </a:fld>
                  <a:endParaRPr lang="es-CO" sz="1600">
                    <a:solidFill>
                      <a:srgbClr val="FFFF00"/>
                    </a:solidFill>
                  </a:endParaRPr>
                </a:p>
              </xdr:txBody>
            </xdr:sp>
          </xdr:grpSp>
          <xdr:grpSp>
            <xdr:nvGrpSpPr>
              <xdr:cNvPr id="62" name="Grupo 61">
                <a:extLst>
                  <a:ext uri="{FF2B5EF4-FFF2-40B4-BE49-F238E27FC236}">
                    <a16:creationId xmlns:a16="http://schemas.microsoft.com/office/drawing/2014/main" id="{00000000-0008-0000-0A00-00003E000000}"/>
                  </a:ext>
                </a:extLst>
              </xdr:cNvPr>
              <xdr:cNvGrpSpPr/>
            </xdr:nvGrpSpPr>
            <xdr:grpSpPr>
              <a:xfrm>
                <a:off x="5369119" y="12347503"/>
                <a:ext cx="770852" cy="278568"/>
                <a:chOff x="5409940" y="12347503"/>
                <a:chExt cx="770852" cy="278568"/>
              </a:xfrm>
            </xdr:grpSpPr>
            <xdr:sp macro="" textlink="$L$7">
              <xdr:nvSpPr>
                <xdr:cNvPr id="312" name="Rectángulo 311">
                  <a:extLst>
                    <a:ext uri="{FF2B5EF4-FFF2-40B4-BE49-F238E27FC236}">
                      <a16:creationId xmlns:a16="http://schemas.microsoft.com/office/drawing/2014/main" id="{00000000-0008-0000-0A00-000038010000}"/>
                    </a:ext>
                  </a:extLst>
                </xdr:cNvPr>
                <xdr:cNvSpPr/>
              </xdr:nvSpPr>
              <xdr:spPr>
                <a:xfrm>
                  <a:off x="5434691" y="12353928"/>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5AE61E-9B7C-44F4-AC25-B0CB2E4D8EFD}"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J$7">
              <xdr:nvSpPr>
                <xdr:cNvPr id="313" name="Rectángulo 312">
                  <a:extLst>
                    <a:ext uri="{FF2B5EF4-FFF2-40B4-BE49-F238E27FC236}">
                      <a16:creationId xmlns:a16="http://schemas.microsoft.com/office/drawing/2014/main" id="{00000000-0008-0000-0A00-000039010000}"/>
                    </a:ext>
                  </a:extLst>
                </xdr:cNvPr>
                <xdr:cNvSpPr/>
              </xdr:nvSpPr>
              <xdr:spPr>
                <a:xfrm>
                  <a:off x="5710786" y="12353928"/>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3B32E77-7B42-450D-929C-4C548F89F3AF}"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
              <xdr:nvSpPr>
                <xdr:cNvPr id="475" name="CuadroTexto 474">
                  <a:extLst>
                    <a:ext uri="{FF2B5EF4-FFF2-40B4-BE49-F238E27FC236}">
                      <a16:creationId xmlns:a16="http://schemas.microsoft.com/office/drawing/2014/main" id="{00000000-0008-0000-0A00-0000DB010000}"/>
                    </a:ext>
                  </a:extLst>
                </xdr:cNvPr>
                <xdr:cNvSpPr txBox="1"/>
              </xdr:nvSpPr>
              <xdr:spPr>
                <a:xfrm>
                  <a:off x="5409940" y="1234750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481" name="Grupo 480">
              <a:extLst>
                <a:ext uri="{FF2B5EF4-FFF2-40B4-BE49-F238E27FC236}">
                  <a16:creationId xmlns:a16="http://schemas.microsoft.com/office/drawing/2014/main" id="{00000000-0008-0000-0A00-0000E1010000}"/>
                </a:ext>
              </a:extLst>
            </xdr:cNvPr>
            <xdr:cNvGrpSpPr/>
          </xdr:nvGrpSpPr>
          <xdr:grpSpPr>
            <a:xfrm>
              <a:off x="6052435" y="11903513"/>
              <a:ext cx="2628000" cy="720000"/>
              <a:chOff x="6052435" y="11903513"/>
              <a:chExt cx="2628000" cy="720000"/>
            </a:xfrm>
          </xdr:grpSpPr>
          <xdr:grpSp>
            <xdr:nvGrpSpPr>
              <xdr:cNvPr id="109" name="Grupo 108">
                <a:extLst>
                  <a:ext uri="{FF2B5EF4-FFF2-40B4-BE49-F238E27FC236}">
                    <a16:creationId xmlns:a16="http://schemas.microsoft.com/office/drawing/2014/main" id="{00000000-0008-0000-0A00-00006D000000}"/>
                  </a:ext>
                </a:extLst>
              </xdr:cNvPr>
              <xdr:cNvGrpSpPr/>
            </xdr:nvGrpSpPr>
            <xdr:grpSpPr>
              <a:xfrm>
                <a:off x="6052435" y="11903513"/>
                <a:ext cx="2628000" cy="720000"/>
                <a:chOff x="28531632" y="2081892"/>
                <a:chExt cx="2433638" cy="585107"/>
              </a:xfrm>
            </xdr:grpSpPr>
            <xdr:sp macro="" textlink="">
              <xdr:nvSpPr>
                <xdr:cNvPr id="110" name="Cheurón 109">
                  <a:extLst>
                    <a:ext uri="{FF2B5EF4-FFF2-40B4-BE49-F238E27FC236}">
                      <a16:creationId xmlns:a16="http://schemas.microsoft.com/office/drawing/2014/main" id="{00000000-0008-0000-0A00-00006E00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11" name="CuadroTexto 110">
                  <a:extLst>
                    <a:ext uri="{FF2B5EF4-FFF2-40B4-BE49-F238E27FC236}">
                      <a16:creationId xmlns:a16="http://schemas.microsoft.com/office/drawing/2014/main" id="{00000000-0008-0000-0A00-00006F000000}"/>
                    </a:ext>
                  </a:extLst>
                </xdr:cNvPr>
                <xdr:cNvSpPr txBox="1"/>
              </xdr:nvSpPr>
              <xdr:spPr>
                <a:xfrm>
                  <a:off x="28768454" y="2130485"/>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M$8">
              <xdr:nvSpPr>
                <xdr:cNvPr id="112" name="Rectángulo redondeado 111">
                  <a:extLst>
                    <a:ext uri="{FF2B5EF4-FFF2-40B4-BE49-F238E27FC236}">
                      <a16:creationId xmlns:a16="http://schemas.microsoft.com/office/drawing/2014/main" id="{00000000-0008-0000-0A00-000070000000}"/>
                    </a:ext>
                  </a:extLst>
                </xdr:cNvPr>
                <xdr:cNvSpPr/>
              </xdr:nvSpPr>
              <xdr:spPr>
                <a:xfrm>
                  <a:off x="300889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A5B2EA-87E8-4E20-81DA-B3056D10412D}" type="TxLink">
                    <a:rPr lang="en-US" sz="1600" b="1" i="0" u="none" strike="noStrike">
                      <a:solidFill>
                        <a:srgbClr val="FFFF00"/>
                      </a:solidFill>
                      <a:latin typeface="Century Gothic"/>
                    </a:rPr>
                    <a:pPr algn="ctr"/>
                    <a:t>-</a:t>
                  </a:fld>
                  <a:endParaRPr lang="es-CO" sz="2800">
                    <a:solidFill>
                      <a:srgbClr val="FFFF00"/>
                    </a:solidFill>
                  </a:endParaRPr>
                </a:p>
              </xdr:txBody>
            </xdr:sp>
          </xdr:grpSp>
          <xdr:grpSp>
            <xdr:nvGrpSpPr>
              <xdr:cNvPr id="477" name="Grupo 476">
                <a:extLst>
                  <a:ext uri="{FF2B5EF4-FFF2-40B4-BE49-F238E27FC236}">
                    <a16:creationId xmlns:a16="http://schemas.microsoft.com/office/drawing/2014/main" id="{00000000-0008-0000-0A00-0000DD010000}"/>
                  </a:ext>
                </a:extLst>
              </xdr:cNvPr>
              <xdr:cNvGrpSpPr/>
            </xdr:nvGrpSpPr>
            <xdr:grpSpPr>
              <a:xfrm>
                <a:off x="7791188" y="12335604"/>
                <a:ext cx="770852" cy="279583"/>
                <a:chOff x="7845616" y="12335604"/>
                <a:chExt cx="770852" cy="279583"/>
              </a:xfrm>
            </xdr:grpSpPr>
            <xdr:sp macro="" textlink="$L$8">
              <xdr:nvSpPr>
                <xdr:cNvPr id="314" name="Rectángulo 313">
                  <a:extLst>
                    <a:ext uri="{FF2B5EF4-FFF2-40B4-BE49-F238E27FC236}">
                      <a16:creationId xmlns:a16="http://schemas.microsoft.com/office/drawing/2014/main" id="{00000000-0008-0000-0A00-00003A010000}"/>
                    </a:ext>
                  </a:extLst>
                </xdr:cNvPr>
                <xdr:cNvSpPr/>
              </xdr:nvSpPr>
              <xdr:spPr>
                <a:xfrm>
                  <a:off x="7873089"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83F2B96-C05A-4E6C-B17F-E01FC9DBB9BF}" type="TxLink">
                    <a:rPr lang="en-US" sz="1100" b="1" i="0" u="none" strike="noStrike">
                      <a:solidFill>
                        <a:srgbClr val="FFFF00"/>
                      </a:solidFill>
                      <a:latin typeface="Century Gothic"/>
                    </a:rPr>
                    <a:pPr algn="ctr"/>
                    <a:t>-</a:t>
                  </a:fld>
                  <a:endParaRPr lang="es-CO" sz="1200" b="1">
                    <a:solidFill>
                      <a:srgbClr val="FFFF00"/>
                    </a:solidFill>
                  </a:endParaRPr>
                </a:p>
              </xdr:txBody>
            </xdr:sp>
            <xdr:sp macro="" textlink="$J$8">
              <xdr:nvSpPr>
                <xdr:cNvPr id="315" name="Rectángulo 314">
                  <a:extLst>
                    <a:ext uri="{FF2B5EF4-FFF2-40B4-BE49-F238E27FC236}">
                      <a16:creationId xmlns:a16="http://schemas.microsoft.com/office/drawing/2014/main" id="{00000000-0008-0000-0A00-00003B010000}"/>
                    </a:ext>
                  </a:extLst>
                </xdr:cNvPr>
                <xdr:cNvSpPr/>
              </xdr:nvSpPr>
              <xdr:spPr>
                <a:xfrm>
                  <a:off x="8149183"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7B128C7-AC54-4856-B656-7A4FE6FB05D4}" type="TxLink">
                    <a:rPr lang="en-US" sz="1100" b="1" i="0" u="none" strike="noStrike">
                      <a:solidFill>
                        <a:srgbClr val="FFFF00"/>
                      </a:solidFill>
                      <a:latin typeface="Century Gothic"/>
                    </a:rPr>
                    <a:pPr algn="ctr"/>
                    <a:t>0</a:t>
                  </a:fld>
                  <a:endParaRPr lang="es-CO" sz="1200" b="1">
                    <a:solidFill>
                      <a:srgbClr val="FFFF00"/>
                    </a:solidFill>
                  </a:endParaRPr>
                </a:p>
              </xdr:txBody>
            </xdr:sp>
            <xdr:sp macro="" textlink="">
              <xdr:nvSpPr>
                <xdr:cNvPr id="476" name="CuadroTexto 475">
                  <a:extLst>
                    <a:ext uri="{FF2B5EF4-FFF2-40B4-BE49-F238E27FC236}">
                      <a16:creationId xmlns:a16="http://schemas.microsoft.com/office/drawing/2014/main" id="{00000000-0008-0000-0A00-0000DC010000}"/>
                    </a:ext>
                  </a:extLst>
                </xdr:cNvPr>
                <xdr:cNvSpPr txBox="1"/>
              </xdr:nvSpPr>
              <xdr:spPr>
                <a:xfrm>
                  <a:off x="7845616" y="1233560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480" name="Grupo 479">
              <a:extLst>
                <a:ext uri="{FF2B5EF4-FFF2-40B4-BE49-F238E27FC236}">
                  <a16:creationId xmlns:a16="http://schemas.microsoft.com/office/drawing/2014/main" id="{00000000-0008-0000-0A00-0000E0010000}"/>
                </a:ext>
              </a:extLst>
            </xdr:cNvPr>
            <xdr:cNvGrpSpPr/>
          </xdr:nvGrpSpPr>
          <xdr:grpSpPr>
            <a:xfrm>
              <a:off x="8477237" y="11906235"/>
              <a:ext cx="2628001" cy="720000"/>
              <a:chOff x="8477237" y="11906235"/>
              <a:chExt cx="2628001" cy="720000"/>
            </a:xfrm>
          </xdr:grpSpPr>
          <xdr:grpSp>
            <xdr:nvGrpSpPr>
              <xdr:cNvPr id="113" name="Grupo 112">
                <a:extLst>
                  <a:ext uri="{FF2B5EF4-FFF2-40B4-BE49-F238E27FC236}">
                    <a16:creationId xmlns:a16="http://schemas.microsoft.com/office/drawing/2014/main" id="{00000000-0008-0000-0A00-000071000000}"/>
                  </a:ext>
                </a:extLst>
              </xdr:cNvPr>
              <xdr:cNvGrpSpPr/>
            </xdr:nvGrpSpPr>
            <xdr:grpSpPr>
              <a:xfrm>
                <a:off x="8477237" y="11906235"/>
                <a:ext cx="2628001" cy="720000"/>
                <a:chOff x="28468627" y="2081892"/>
                <a:chExt cx="2433638" cy="585107"/>
              </a:xfrm>
            </xdr:grpSpPr>
            <xdr:sp macro="" textlink="">
              <xdr:nvSpPr>
                <xdr:cNvPr id="114" name="Cheurón 113">
                  <a:extLst>
                    <a:ext uri="{FF2B5EF4-FFF2-40B4-BE49-F238E27FC236}">
                      <a16:creationId xmlns:a16="http://schemas.microsoft.com/office/drawing/2014/main" id="{00000000-0008-0000-0A00-00007200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15" name="CuadroTexto 114">
                  <a:extLst>
                    <a:ext uri="{FF2B5EF4-FFF2-40B4-BE49-F238E27FC236}">
                      <a16:creationId xmlns:a16="http://schemas.microsoft.com/office/drawing/2014/main" id="{00000000-0008-0000-0A00-000073000000}"/>
                    </a:ext>
                  </a:extLst>
                </xdr:cNvPr>
                <xdr:cNvSpPr txBox="1"/>
              </xdr:nvSpPr>
              <xdr:spPr>
                <a:xfrm>
                  <a:off x="28773454"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M$9">
              <xdr:nvSpPr>
                <xdr:cNvPr id="116" name="Rectángulo redondeado 115">
                  <a:extLst>
                    <a:ext uri="{FF2B5EF4-FFF2-40B4-BE49-F238E27FC236}">
                      <a16:creationId xmlns:a16="http://schemas.microsoft.com/office/drawing/2014/main" id="{00000000-0008-0000-0A00-000074000000}"/>
                    </a:ext>
                  </a:extLst>
                </xdr:cNvPr>
                <xdr:cNvSpPr/>
              </xdr:nvSpPr>
              <xdr:spPr>
                <a:xfrm>
                  <a:off x="29988128" y="2157577"/>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B943DD-91BC-46EC-BB55-D1CE6444C32F}" type="TxLink">
                    <a:rPr lang="en-US" sz="1600" b="1" i="0" u="none" strike="noStrike">
                      <a:solidFill>
                        <a:srgbClr val="FFFF00"/>
                      </a:solidFill>
                      <a:latin typeface="Century Gothic"/>
                    </a:rPr>
                    <a:pPr algn="ctr"/>
                    <a:t>33,3%</a:t>
                  </a:fld>
                  <a:endParaRPr lang="es-CO" sz="1600">
                    <a:solidFill>
                      <a:srgbClr val="FFFF00"/>
                    </a:solidFill>
                  </a:endParaRPr>
                </a:p>
              </xdr:txBody>
            </xdr:sp>
          </xdr:grpSp>
          <xdr:grpSp>
            <xdr:nvGrpSpPr>
              <xdr:cNvPr id="479" name="Grupo 478">
                <a:extLst>
                  <a:ext uri="{FF2B5EF4-FFF2-40B4-BE49-F238E27FC236}">
                    <a16:creationId xmlns:a16="http://schemas.microsoft.com/office/drawing/2014/main" id="{00000000-0008-0000-0A00-0000DF010000}"/>
                  </a:ext>
                </a:extLst>
              </xdr:cNvPr>
              <xdr:cNvGrpSpPr/>
            </xdr:nvGrpSpPr>
            <xdr:grpSpPr>
              <a:xfrm>
                <a:off x="10122954" y="12339010"/>
                <a:ext cx="770852" cy="278900"/>
                <a:chOff x="10109347" y="12339010"/>
                <a:chExt cx="770852" cy="278900"/>
              </a:xfrm>
            </xdr:grpSpPr>
            <xdr:sp macro="" textlink="$L$9">
              <xdr:nvSpPr>
                <xdr:cNvPr id="316" name="Rectángulo 315">
                  <a:extLst>
                    <a:ext uri="{FF2B5EF4-FFF2-40B4-BE49-F238E27FC236}">
                      <a16:creationId xmlns:a16="http://schemas.microsoft.com/office/drawing/2014/main" id="{00000000-0008-0000-0A00-00003C010000}"/>
                    </a:ext>
                  </a:extLst>
                </xdr:cNvPr>
                <xdr:cNvSpPr/>
              </xdr:nvSpPr>
              <xdr:spPr>
                <a:xfrm>
                  <a:off x="10148201"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40F130-7769-4A21-B4F9-89B48C51AC34}" type="TxLink">
                    <a:rPr lang="en-US" sz="1100" b="1" i="0" u="none" strike="noStrike">
                      <a:solidFill>
                        <a:srgbClr val="FFFF00"/>
                      </a:solidFill>
                      <a:latin typeface="Century Gothic"/>
                    </a:rPr>
                    <a:pPr algn="ctr"/>
                    <a:t>2</a:t>
                  </a:fld>
                  <a:endParaRPr lang="es-CO" sz="1400" b="1">
                    <a:solidFill>
                      <a:srgbClr val="FFFF00"/>
                    </a:solidFill>
                  </a:endParaRPr>
                </a:p>
              </xdr:txBody>
            </xdr:sp>
            <xdr:sp macro="" textlink="$J$9">
              <xdr:nvSpPr>
                <xdr:cNvPr id="317" name="Rectángulo 316">
                  <a:extLst>
                    <a:ext uri="{FF2B5EF4-FFF2-40B4-BE49-F238E27FC236}">
                      <a16:creationId xmlns:a16="http://schemas.microsoft.com/office/drawing/2014/main" id="{00000000-0008-0000-0A00-00003D010000}"/>
                    </a:ext>
                  </a:extLst>
                </xdr:cNvPr>
                <xdr:cNvSpPr/>
              </xdr:nvSpPr>
              <xdr:spPr>
                <a:xfrm>
                  <a:off x="10424295"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2712BF-91B0-4BF1-BDA4-BB50B582F37C}" type="TxLink">
                    <a:rPr lang="en-US" sz="1100" b="1" i="0" u="none" strike="noStrike">
                      <a:solidFill>
                        <a:srgbClr val="FFFF00"/>
                      </a:solidFill>
                      <a:latin typeface="Century Gothic"/>
                    </a:rPr>
                    <a:pPr algn="ctr"/>
                    <a:t>6</a:t>
                  </a:fld>
                  <a:endParaRPr lang="es-CO" sz="1400" b="1">
                    <a:solidFill>
                      <a:srgbClr val="FFFF00"/>
                    </a:solidFill>
                  </a:endParaRPr>
                </a:p>
              </xdr:txBody>
            </xdr:sp>
            <xdr:sp macro="" textlink="">
              <xdr:nvSpPr>
                <xdr:cNvPr id="478" name="CuadroTexto 477">
                  <a:extLst>
                    <a:ext uri="{FF2B5EF4-FFF2-40B4-BE49-F238E27FC236}">
                      <a16:creationId xmlns:a16="http://schemas.microsoft.com/office/drawing/2014/main" id="{00000000-0008-0000-0A00-0000DE010000}"/>
                    </a:ext>
                  </a:extLst>
                </xdr:cNvPr>
                <xdr:cNvSpPr txBox="1"/>
              </xdr:nvSpPr>
              <xdr:spPr>
                <a:xfrm>
                  <a:off x="10109347" y="12339010"/>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91" name="Grupo 90">
            <a:extLst>
              <a:ext uri="{FF2B5EF4-FFF2-40B4-BE49-F238E27FC236}">
                <a16:creationId xmlns:a16="http://schemas.microsoft.com/office/drawing/2014/main" id="{00000000-0008-0000-0A00-00005B000000}"/>
              </a:ext>
            </a:extLst>
          </xdr:cNvPr>
          <xdr:cNvGrpSpPr/>
        </xdr:nvGrpSpPr>
        <xdr:grpSpPr>
          <a:xfrm>
            <a:off x="382195" y="13257663"/>
            <a:ext cx="10776885" cy="1542369"/>
            <a:chOff x="380997" y="13100930"/>
            <a:chExt cx="10779296" cy="1514730"/>
          </a:xfrm>
        </xdr:grpSpPr>
        <xdr:grpSp>
          <xdr:nvGrpSpPr>
            <xdr:cNvPr id="59" name="Grupo 58">
              <a:extLst>
                <a:ext uri="{FF2B5EF4-FFF2-40B4-BE49-F238E27FC236}">
                  <a16:creationId xmlns:a16="http://schemas.microsoft.com/office/drawing/2014/main" id="{00000000-0008-0000-0A00-00003B000000}"/>
                </a:ext>
              </a:extLst>
            </xdr:cNvPr>
            <xdr:cNvGrpSpPr/>
          </xdr:nvGrpSpPr>
          <xdr:grpSpPr>
            <a:xfrm>
              <a:off x="380997" y="13103660"/>
              <a:ext cx="720000" cy="1512000"/>
              <a:chOff x="27391177" y="8354785"/>
              <a:chExt cx="720000" cy="1512000"/>
            </a:xfrm>
          </xdr:grpSpPr>
          <xdr:sp macro="" textlink="">
            <xdr:nvSpPr>
              <xdr:cNvPr id="57" name="Rectángulo 56">
                <a:extLst>
                  <a:ext uri="{FF2B5EF4-FFF2-40B4-BE49-F238E27FC236}">
                    <a16:creationId xmlns:a16="http://schemas.microsoft.com/office/drawing/2014/main" id="{00000000-0008-0000-0A00-000039000000}"/>
                  </a:ext>
                </a:extLst>
              </xdr:cNvPr>
              <xdr:cNvSpPr/>
            </xdr:nvSpPr>
            <xdr:spPr>
              <a:xfrm>
                <a:off x="27391177" y="8354785"/>
                <a:ext cx="72000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8" name="CuadroTexto 57">
                <a:extLst>
                  <a:ext uri="{FF2B5EF4-FFF2-40B4-BE49-F238E27FC236}">
                    <a16:creationId xmlns:a16="http://schemas.microsoft.com/office/drawing/2014/main" id="{00000000-0008-0000-0A00-00003A000000}"/>
                  </a:ext>
                </a:extLst>
              </xdr:cNvPr>
              <xdr:cNvSpPr txBox="1"/>
            </xdr:nvSpPr>
            <xdr:spPr>
              <a:xfrm rot="16200000">
                <a:off x="27132645"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487" name="Grupo 486">
              <a:extLst>
                <a:ext uri="{FF2B5EF4-FFF2-40B4-BE49-F238E27FC236}">
                  <a16:creationId xmlns:a16="http://schemas.microsoft.com/office/drawing/2014/main" id="{00000000-0008-0000-0A00-0000E7010000}"/>
                </a:ext>
              </a:extLst>
            </xdr:cNvPr>
            <xdr:cNvGrpSpPr/>
          </xdr:nvGrpSpPr>
          <xdr:grpSpPr>
            <a:xfrm>
              <a:off x="1197505" y="13103645"/>
              <a:ext cx="2160005" cy="728022"/>
              <a:chOff x="1197505" y="13103645"/>
              <a:chExt cx="2160005" cy="728022"/>
            </a:xfrm>
          </xdr:grpSpPr>
          <xdr:grpSp>
            <xdr:nvGrpSpPr>
              <xdr:cNvPr id="20" name="Grupo 19">
                <a:extLst>
                  <a:ext uri="{FF2B5EF4-FFF2-40B4-BE49-F238E27FC236}">
                    <a16:creationId xmlns:a16="http://schemas.microsoft.com/office/drawing/2014/main" id="{00000000-0008-0000-0A00-000014000000}"/>
                  </a:ext>
                </a:extLst>
              </xdr:cNvPr>
              <xdr:cNvGrpSpPr/>
            </xdr:nvGrpSpPr>
            <xdr:grpSpPr>
              <a:xfrm>
                <a:off x="1197505" y="13103645"/>
                <a:ext cx="2160005" cy="720000"/>
                <a:chOff x="28670251" y="2081892"/>
                <a:chExt cx="2000250" cy="585107"/>
              </a:xfrm>
            </xdr:grpSpPr>
            <xdr:sp macro="" textlink="">
              <xdr:nvSpPr>
                <xdr:cNvPr id="16" name="Cheurón 15">
                  <a:extLst>
                    <a:ext uri="{FF2B5EF4-FFF2-40B4-BE49-F238E27FC236}">
                      <a16:creationId xmlns:a16="http://schemas.microsoft.com/office/drawing/2014/main" id="{00000000-0008-0000-0A00-000010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7" name="CuadroTexto 16">
                  <a:extLst>
                    <a:ext uri="{FF2B5EF4-FFF2-40B4-BE49-F238E27FC236}">
                      <a16:creationId xmlns:a16="http://schemas.microsoft.com/office/drawing/2014/main" id="{00000000-0008-0000-0A00-000011000000}"/>
                    </a:ext>
                  </a:extLst>
                </xdr:cNvPr>
                <xdr:cNvSpPr txBox="1"/>
              </xdr:nvSpPr>
              <xdr:spPr>
                <a:xfrm>
                  <a:off x="28846736" y="2166613"/>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M$10">
              <xdr:nvSpPr>
                <xdr:cNvPr id="18" name="Rectángulo redondeado 17">
                  <a:extLst>
                    <a:ext uri="{FF2B5EF4-FFF2-40B4-BE49-F238E27FC236}">
                      <a16:creationId xmlns:a16="http://schemas.microsoft.com/office/drawing/2014/main" id="{00000000-0008-0000-0A00-000012000000}"/>
                    </a:ext>
                  </a:extLst>
                </xdr:cNvPr>
                <xdr:cNvSpPr/>
              </xdr:nvSpPr>
              <xdr:spPr>
                <a:xfrm>
                  <a:off x="297991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0D7B4A-6D6C-480C-B955-CDABAA9BC226}" type="TxLink">
                    <a:rPr lang="en-US" sz="1600" b="1" i="0" u="none" strike="noStrike">
                      <a:solidFill>
                        <a:srgbClr val="FFFF00"/>
                      </a:solidFill>
                      <a:latin typeface="Century Gothic"/>
                    </a:rPr>
                    <a:pPr algn="ctr"/>
                    <a:t>66,7%</a:t>
                  </a:fld>
                  <a:endParaRPr lang="es-CO" sz="1600">
                    <a:solidFill>
                      <a:srgbClr val="FFFF00"/>
                    </a:solidFill>
                  </a:endParaRPr>
                </a:p>
              </xdr:txBody>
            </xdr:sp>
          </xdr:grpSp>
          <xdr:grpSp>
            <xdr:nvGrpSpPr>
              <xdr:cNvPr id="483" name="Grupo 482">
                <a:extLst>
                  <a:ext uri="{FF2B5EF4-FFF2-40B4-BE49-F238E27FC236}">
                    <a16:creationId xmlns:a16="http://schemas.microsoft.com/office/drawing/2014/main" id="{00000000-0008-0000-0A00-0000E3010000}"/>
                  </a:ext>
                </a:extLst>
              </xdr:cNvPr>
              <xdr:cNvGrpSpPr/>
            </xdr:nvGrpSpPr>
            <xdr:grpSpPr>
              <a:xfrm>
                <a:off x="2429979" y="13550046"/>
                <a:ext cx="770852" cy="281621"/>
                <a:chOff x="2429979" y="13550046"/>
                <a:chExt cx="770852" cy="281621"/>
              </a:xfrm>
            </xdr:grpSpPr>
            <xdr:sp macro="" textlink="$L$10">
              <xdr:nvSpPr>
                <xdr:cNvPr id="318" name="Rectángulo 317">
                  <a:extLst>
                    <a:ext uri="{FF2B5EF4-FFF2-40B4-BE49-F238E27FC236}">
                      <a16:creationId xmlns:a16="http://schemas.microsoft.com/office/drawing/2014/main" id="{00000000-0008-0000-0A00-00003E010000}"/>
                    </a:ext>
                  </a:extLst>
                </xdr:cNvPr>
                <xdr:cNvSpPr/>
              </xdr:nvSpPr>
              <xdr:spPr>
                <a:xfrm>
                  <a:off x="2462887"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3696C5-91FD-4FF2-B112-A0D81278964D}" type="TxLink">
                    <a:rPr lang="en-US" sz="1100" b="1" i="0" u="none" strike="noStrike">
                      <a:solidFill>
                        <a:srgbClr val="FFFF00"/>
                      </a:solidFill>
                      <a:latin typeface="Century Gothic"/>
                    </a:rPr>
                    <a:pPr algn="ctr"/>
                    <a:t>2</a:t>
                  </a:fld>
                  <a:endParaRPr lang="es-CO" sz="1600" b="1">
                    <a:solidFill>
                      <a:srgbClr val="FFFF00"/>
                    </a:solidFill>
                  </a:endParaRPr>
                </a:p>
              </xdr:txBody>
            </xdr:sp>
            <xdr:sp macro="" textlink="$J$10">
              <xdr:nvSpPr>
                <xdr:cNvPr id="319" name="Rectángulo 318">
                  <a:extLst>
                    <a:ext uri="{FF2B5EF4-FFF2-40B4-BE49-F238E27FC236}">
                      <a16:creationId xmlns:a16="http://schemas.microsoft.com/office/drawing/2014/main" id="{00000000-0008-0000-0A00-00003F010000}"/>
                    </a:ext>
                  </a:extLst>
                </xdr:cNvPr>
                <xdr:cNvSpPr/>
              </xdr:nvSpPr>
              <xdr:spPr>
                <a:xfrm>
                  <a:off x="2738981"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9E9F63B-5A21-4F05-97D9-82240AD55A9B}" type="TxLink">
                    <a:rPr lang="en-US" sz="1100" b="1" i="0" u="none" strike="noStrike">
                      <a:solidFill>
                        <a:srgbClr val="FFFF00"/>
                      </a:solidFill>
                      <a:latin typeface="Century Gothic"/>
                    </a:rPr>
                    <a:pPr algn="ctr"/>
                    <a:t>3</a:t>
                  </a:fld>
                  <a:endParaRPr lang="es-CO" sz="1600" b="1">
                    <a:solidFill>
                      <a:srgbClr val="FFFF00"/>
                    </a:solidFill>
                  </a:endParaRPr>
                </a:p>
              </xdr:txBody>
            </xdr:sp>
            <xdr:sp macro="" textlink="">
              <xdr:nvSpPr>
                <xdr:cNvPr id="482" name="CuadroTexto 481">
                  <a:extLst>
                    <a:ext uri="{FF2B5EF4-FFF2-40B4-BE49-F238E27FC236}">
                      <a16:creationId xmlns:a16="http://schemas.microsoft.com/office/drawing/2014/main" id="{00000000-0008-0000-0A00-0000E2010000}"/>
                    </a:ext>
                  </a:extLst>
                </xdr:cNvPr>
                <xdr:cNvSpPr txBox="1"/>
              </xdr:nvSpPr>
              <xdr:spPr>
                <a:xfrm>
                  <a:off x="2429979" y="1355004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486" name="Grupo 485">
              <a:extLst>
                <a:ext uri="{FF2B5EF4-FFF2-40B4-BE49-F238E27FC236}">
                  <a16:creationId xmlns:a16="http://schemas.microsoft.com/office/drawing/2014/main" id="{00000000-0008-0000-0A00-0000E6010000}"/>
                </a:ext>
              </a:extLst>
            </xdr:cNvPr>
            <xdr:cNvGrpSpPr/>
          </xdr:nvGrpSpPr>
          <xdr:grpSpPr>
            <a:xfrm>
              <a:off x="3159656" y="13106368"/>
              <a:ext cx="2195848" cy="720000"/>
              <a:chOff x="3159656" y="13106368"/>
              <a:chExt cx="2195848" cy="720000"/>
            </a:xfrm>
          </xdr:grpSpPr>
          <xdr:grpSp>
            <xdr:nvGrpSpPr>
              <xdr:cNvPr id="21" name="Grupo 20">
                <a:extLst>
                  <a:ext uri="{FF2B5EF4-FFF2-40B4-BE49-F238E27FC236}">
                    <a16:creationId xmlns:a16="http://schemas.microsoft.com/office/drawing/2014/main" id="{00000000-0008-0000-0A00-000015000000}"/>
                  </a:ext>
                </a:extLst>
              </xdr:cNvPr>
              <xdr:cNvGrpSpPr/>
            </xdr:nvGrpSpPr>
            <xdr:grpSpPr>
              <a:xfrm>
                <a:off x="3159656" y="13106368"/>
                <a:ext cx="2195848" cy="720000"/>
                <a:chOff x="28670251" y="2081892"/>
                <a:chExt cx="2033442" cy="585107"/>
              </a:xfrm>
            </xdr:grpSpPr>
            <xdr:sp macro="" textlink="">
              <xdr:nvSpPr>
                <xdr:cNvPr id="22" name="Cheurón 21">
                  <a:extLst>
                    <a:ext uri="{FF2B5EF4-FFF2-40B4-BE49-F238E27FC236}">
                      <a16:creationId xmlns:a16="http://schemas.microsoft.com/office/drawing/2014/main" id="{00000000-0008-0000-0A00-000016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3" name="CuadroTexto 22">
                  <a:extLst>
                    <a:ext uri="{FF2B5EF4-FFF2-40B4-BE49-F238E27FC236}">
                      <a16:creationId xmlns:a16="http://schemas.microsoft.com/office/drawing/2014/main" id="{00000000-0008-0000-0A00-000017000000}"/>
                    </a:ext>
                  </a:extLst>
                </xdr:cNvPr>
                <xdr:cNvSpPr txBox="1"/>
              </xdr:nvSpPr>
              <xdr:spPr>
                <a:xfrm>
                  <a:off x="28843624" y="2159702"/>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M$11">
              <xdr:nvSpPr>
                <xdr:cNvPr id="24" name="Rectángulo redondeado 23">
                  <a:extLst>
                    <a:ext uri="{FF2B5EF4-FFF2-40B4-BE49-F238E27FC236}">
                      <a16:creationId xmlns:a16="http://schemas.microsoft.com/office/drawing/2014/main" id="{00000000-0008-0000-0A00-000018000000}"/>
                    </a:ext>
                  </a:extLst>
                </xdr:cNvPr>
                <xdr:cNvSpPr/>
              </xdr:nvSpPr>
              <xdr:spPr>
                <a:xfrm>
                  <a:off x="29836919" y="2179693"/>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5F665B-B594-4379-AE59-E6872E3D2C9D}"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485" name="Grupo 484">
                <a:extLst>
                  <a:ext uri="{FF2B5EF4-FFF2-40B4-BE49-F238E27FC236}">
                    <a16:creationId xmlns:a16="http://schemas.microsoft.com/office/drawing/2014/main" id="{00000000-0008-0000-0A00-0000E5010000}"/>
                  </a:ext>
                </a:extLst>
              </xdr:cNvPr>
              <xdr:cNvGrpSpPr/>
            </xdr:nvGrpSpPr>
            <xdr:grpSpPr>
              <a:xfrm>
                <a:off x="4416617" y="13536434"/>
                <a:ext cx="770852" cy="284349"/>
                <a:chOff x="4416617" y="13536434"/>
                <a:chExt cx="770852" cy="284349"/>
              </a:xfrm>
            </xdr:grpSpPr>
            <xdr:sp macro="" textlink="$L$11">
              <xdr:nvSpPr>
                <xdr:cNvPr id="320" name="Rectángulo 319">
                  <a:extLst>
                    <a:ext uri="{FF2B5EF4-FFF2-40B4-BE49-F238E27FC236}">
                      <a16:creationId xmlns:a16="http://schemas.microsoft.com/office/drawing/2014/main" id="{00000000-0008-0000-0A00-000040010000}"/>
                    </a:ext>
                  </a:extLst>
                </xdr:cNvPr>
                <xdr:cNvSpPr/>
              </xdr:nvSpPr>
              <xdr:spPr>
                <a:xfrm>
                  <a:off x="4452250" y="135486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E953BC-1753-4935-9202-7E4B1B8CA915}" type="TxLink">
                    <a:rPr lang="en-US" sz="1100" b="1" i="0" u="none" strike="noStrike">
                      <a:solidFill>
                        <a:srgbClr val="FFFF00"/>
                      </a:solidFill>
                      <a:latin typeface="Century Gothic"/>
                    </a:rPr>
                    <a:pPr algn="ctr"/>
                    <a:t>1</a:t>
                  </a:fld>
                  <a:endParaRPr lang="es-CO" sz="1800" b="1">
                    <a:solidFill>
                      <a:srgbClr val="FFFF00"/>
                    </a:solidFill>
                  </a:endParaRPr>
                </a:p>
              </xdr:txBody>
            </xdr:sp>
            <xdr:sp macro="" textlink="$J$11">
              <xdr:nvSpPr>
                <xdr:cNvPr id="321" name="Rectángulo 320">
                  <a:extLst>
                    <a:ext uri="{FF2B5EF4-FFF2-40B4-BE49-F238E27FC236}">
                      <a16:creationId xmlns:a16="http://schemas.microsoft.com/office/drawing/2014/main" id="{00000000-0008-0000-0A00-000041010000}"/>
                    </a:ext>
                  </a:extLst>
                </xdr:cNvPr>
                <xdr:cNvSpPr/>
              </xdr:nvSpPr>
              <xdr:spPr>
                <a:xfrm>
                  <a:off x="4728345" y="135486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60BBF8-502D-45C2-BAA0-A7B0D1A5FEB6}" type="TxLink">
                    <a:rPr lang="en-US" sz="1100" b="1" i="0" u="none" strike="noStrike">
                      <a:solidFill>
                        <a:srgbClr val="FFFF00"/>
                      </a:solidFill>
                      <a:latin typeface="Century Gothic"/>
                    </a:rPr>
                    <a:pPr algn="ctr"/>
                    <a:t>1</a:t>
                  </a:fld>
                  <a:endParaRPr lang="es-CO" sz="1800" b="1">
                    <a:solidFill>
                      <a:srgbClr val="FFFF00"/>
                    </a:solidFill>
                  </a:endParaRPr>
                </a:p>
              </xdr:txBody>
            </xdr:sp>
            <xdr:sp macro="" textlink="">
              <xdr:nvSpPr>
                <xdr:cNvPr id="484" name="CuadroTexto 483">
                  <a:extLst>
                    <a:ext uri="{FF2B5EF4-FFF2-40B4-BE49-F238E27FC236}">
                      <a16:creationId xmlns:a16="http://schemas.microsoft.com/office/drawing/2014/main" id="{00000000-0008-0000-0A00-0000E4010000}"/>
                    </a:ext>
                  </a:extLst>
                </xdr:cNvPr>
                <xdr:cNvSpPr txBox="1"/>
              </xdr:nvSpPr>
              <xdr:spPr>
                <a:xfrm>
                  <a:off x="4416617" y="1353643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490" name="Grupo 489">
              <a:extLst>
                <a:ext uri="{FF2B5EF4-FFF2-40B4-BE49-F238E27FC236}">
                  <a16:creationId xmlns:a16="http://schemas.microsoft.com/office/drawing/2014/main" id="{00000000-0008-0000-0A00-0000EA010000}"/>
                </a:ext>
              </a:extLst>
            </xdr:cNvPr>
            <xdr:cNvGrpSpPr/>
          </xdr:nvGrpSpPr>
          <xdr:grpSpPr>
            <a:xfrm>
              <a:off x="5121794" y="13109091"/>
              <a:ext cx="2182243" cy="720000"/>
              <a:chOff x="5121794" y="13109091"/>
              <a:chExt cx="2182243" cy="720000"/>
            </a:xfrm>
          </xdr:grpSpPr>
          <xdr:grpSp>
            <xdr:nvGrpSpPr>
              <xdr:cNvPr id="25" name="Grupo 24">
                <a:extLst>
                  <a:ext uri="{FF2B5EF4-FFF2-40B4-BE49-F238E27FC236}">
                    <a16:creationId xmlns:a16="http://schemas.microsoft.com/office/drawing/2014/main" id="{00000000-0008-0000-0A00-000019000000}"/>
                  </a:ext>
                </a:extLst>
              </xdr:cNvPr>
              <xdr:cNvGrpSpPr/>
            </xdr:nvGrpSpPr>
            <xdr:grpSpPr>
              <a:xfrm>
                <a:off x="5121794" y="13109091"/>
                <a:ext cx="2182243" cy="720000"/>
                <a:chOff x="28670251" y="2081892"/>
                <a:chExt cx="2020844" cy="585107"/>
              </a:xfrm>
            </xdr:grpSpPr>
            <xdr:sp macro="" textlink="">
              <xdr:nvSpPr>
                <xdr:cNvPr id="26" name="Cheurón 25">
                  <a:extLst>
                    <a:ext uri="{FF2B5EF4-FFF2-40B4-BE49-F238E27FC236}">
                      <a16:creationId xmlns:a16="http://schemas.microsoft.com/office/drawing/2014/main" id="{00000000-0008-0000-0A00-00001A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7" name="CuadroTexto 26">
                  <a:extLst>
                    <a:ext uri="{FF2B5EF4-FFF2-40B4-BE49-F238E27FC236}">
                      <a16:creationId xmlns:a16="http://schemas.microsoft.com/office/drawing/2014/main" id="{00000000-0008-0000-0A00-00001B000000}"/>
                    </a:ext>
                  </a:extLst>
                </xdr:cNvPr>
                <xdr:cNvSpPr txBox="1"/>
              </xdr:nvSpPr>
              <xdr:spPr>
                <a:xfrm>
                  <a:off x="28864817" y="2159702"/>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M$12">
              <xdr:nvSpPr>
                <xdr:cNvPr id="28" name="Rectángulo redondeado 27">
                  <a:extLst>
                    <a:ext uri="{FF2B5EF4-FFF2-40B4-BE49-F238E27FC236}">
                      <a16:creationId xmlns:a16="http://schemas.microsoft.com/office/drawing/2014/main" id="{00000000-0008-0000-0A00-00001C000000}"/>
                    </a:ext>
                  </a:extLst>
                </xdr:cNvPr>
                <xdr:cNvSpPr/>
              </xdr:nvSpPr>
              <xdr:spPr>
                <a:xfrm>
                  <a:off x="29824321" y="2179693"/>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240F7D-105B-4399-8554-1ECF9D3E287E}"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489" name="Grupo 488">
                <a:extLst>
                  <a:ext uri="{FF2B5EF4-FFF2-40B4-BE49-F238E27FC236}">
                    <a16:creationId xmlns:a16="http://schemas.microsoft.com/office/drawing/2014/main" id="{00000000-0008-0000-0A00-0000E9010000}"/>
                  </a:ext>
                </a:extLst>
              </xdr:cNvPr>
              <xdr:cNvGrpSpPr/>
            </xdr:nvGrpSpPr>
            <xdr:grpSpPr>
              <a:xfrm>
                <a:off x="6371102" y="13544941"/>
                <a:ext cx="770852" cy="278565"/>
                <a:chOff x="6371102" y="13544941"/>
                <a:chExt cx="770852" cy="278565"/>
              </a:xfrm>
            </xdr:grpSpPr>
            <xdr:sp macro="" textlink="$L$12">
              <xdr:nvSpPr>
                <xdr:cNvPr id="322" name="Rectángulo 321">
                  <a:extLst>
                    <a:ext uri="{FF2B5EF4-FFF2-40B4-BE49-F238E27FC236}">
                      <a16:creationId xmlns:a16="http://schemas.microsoft.com/office/drawing/2014/main" id="{00000000-0008-0000-0A00-000042010000}"/>
                    </a:ext>
                  </a:extLst>
                </xdr:cNvPr>
                <xdr:cNvSpPr/>
              </xdr:nvSpPr>
              <xdr:spPr>
                <a:xfrm>
                  <a:off x="6400791"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30229BC-7F93-47C7-9E7B-53A219876A3E}" type="TxLink">
                    <a:rPr lang="en-US" sz="1100" b="1" i="0" u="none" strike="noStrike">
                      <a:solidFill>
                        <a:srgbClr val="FFFF00"/>
                      </a:solidFill>
                      <a:latin typeface="Century Gothic"/>
                    </a:rPr>
                    <a:pPr algn="ctr"/>
                    <a:t>2</a:t>
                  </a:fld>
                  <a:endParaRPr lang="es-CO" sz="2000" b="1">
                    <a:solidFill>
                      <a:srgbClr val="FFFF00"/>
                    </a:solidFill>
                  </a:endParaRPr>
                </a:p>
              </xdr:txBody>
            </xdr:sp>
            <xdr:sp macro="" textlink="$J$12">
              <xdr:nvSpPr>
                <xdr:cNvPr id="323" name="Rectángulo 322">
                  <a:extLst>
                    <a:ext uri="{FF2B5EF4-FFF2-40B4-BE49-F238E27FC236}">
                      <a16:creationId xmlns:a16="http://schemas.microsoft.com/office/drawing/2014/main" id="{00000000-0008-0000-0A00-000043010000}"/>
                    </a:ext>
                  </a:extLst>
                </xdr:cNvPr>
                <xdr:cNvSpPr/>
              </xdr:nvSpPr>
              <xdr:spPr>
                <a:xfrm>
                  <a:off x="6676885"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02CBDA-4975-4C1B-A271-C14D6D24756D}" type="TxLink">
                    <a:rPr lang="en-US" sz="1100" b="1" i="0" u="none" strike="noStrike">
                      <a:solidFill>
                        <a:srgbClr val="FFFF00"/>
                      </a:solidFill>
                      <a:latin typeface="Century Gothic"/>
                    </a:rPr>
                    <a:pPr algn="ctr"/>
                    <a:t>2</a:t>
                  </a:fld>
                  <a:endParaRPr lang="es-CO" sz="2000" b="1">
                    <a:solidFill>
                      <a:srgbClr val="FFFF00"/>
                    </a:solidFill>
                  </a:endParaRPr>
                </a:p>
              </xdr:txBody>
            </xdr:sp>
            <xdr:sp macro="" textlink="">
              <xdr:nvSpPr>
                <xdr:cNvPr id="488" name="CuadroTexto 487">
                  <a:extLst>
                    <a:ext uri="{FF2B5EF4-FFF2-40B4-BE49-F238E27FC236}">
                      <a16:creationId xmlns:a16="http://schemas.microsoft.com/office/drawing/2014/main" id="{00000000-0008-0000-0A00-0000E8010000}"/>
                    </a:ext>
                  </a:extLst>
                </xdr:cNvPr>
                <xdr:cNvSpPr txBox="1"/>
              </xdr:nvSpPr>
              <xdr:spPr>
                <a:xfrm>
                  <a:off x="6371102" y="1354494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493" name="Grupo 492">
              <a:extLst>
                <a:ext uri="{FF2B5EF4-FFF2-40B4-BE49-F238E27FC236}">
                  <a16:creationId xmlns:a16="http://schemas.microsoft.com/office/drawing/2014/main" id="{00000000-0008-0000-0A00-0000ED010000}"/>
                </a:ext>
              </a:extLst>
            </xdr:cNvPr>
            <xdr:cNvGrpSpPr/>
          </xdr:nvGrpSpPr>
          <xdr:grpSpPr>
            <a:xfrm>
              <a:off x="7078947" y="13106711"/>
              <a:ext cx="2175256" cy="725999"/>
              <a:chOff x="7078947" y="13106711"/>
              <a:chExt cx="2175256" cy="725999"/>
            </a:xfrm>
          </xdr:grpSpPr>
          <xdr:grpSp>
            <xdr:nvGrpSpPr>
              <xdr:cNvPr id="29" name="Grupo 28">
                <a:extLst>
                  <a:ext uri="{FF2B5EF4-FFF2-40B4-BE49-F238E27FC236}">
                    <a16:creationId xmlns:a16="http://schemas.microsoft.com/office/drawing/2014/main" id="{00000000-0008-0000-0A00-00001D000000}"/>
                  </a:ext>
                </a:extLst>
              </xdr:cNvPr>
              <xdr:cNvGrpSpPr/>
            </xdr:nvGrpSpPr>
            <xdr:grpSpPr>
              <a:xfrm>
                <a:off x="7078947" y="13106711"/>
                <a:ext cx="2175256" cy="720000"/>
                <a:chOff x="28678435" y="2088803"/>
                <a:chExt cx="2055483" cy="585107"/>
              </a:xfrm>
            </xdr:grpSpPr>
            <xdr:sp macro="" textlink="">
              <xdr:nvSpPr>
                <xdr:cNvPr id="30" name="Cheurón 29">
                  <a:extLst>
                    <a:ext uri="{FF2B5EF4-FFF2-40B4-BE49-F238E27FC236}">
                      <a16:creationId xmlns:a16="http://schemas.microsoft.com/office/drawing/2014/main" id="{00000000-0008-0000-0A00-00001E000000}"/>
                    </a:ext>
                  </a:extLst>
                </xdr:cNvPr>
                <xdr:cNvSpPr/>
              </xdr:nvSpPr>
              <xdr:spPr>
                <a:xfrm>
                  <a:off x="28678435" y="2088803"/>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1" name="CuadroTexto 30">
                  <a:extLst>
                    <a:ext uri="{FF2B5EF4-FFF2-40B4-BE49-F238E27FC236}">
                      <a16:creationId xmlns:a16="http://schemas.microsoft.com/office/drawing/2014/main" id="{00000000-0008-0000-0A00-00001F000000}"/>
                    </a:ext>
                  </a:extLst>
                </xdr:cNvPr>
                <xdr:cNvSpPr txBox="1"/>
              </xdr:nvSpPr>
              <xdr:spPr>
                <a:xfrm>
                  <a:off x="28751134" y="2170761"/>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M$13">
              <xdr:nvSpPr>
                <xdr:cNvPr id="32" name="Rectángulo redondeado 31">
                  <a:extLst>
                    <a:ext uri="{FF2B5EF4-FFF2-40B4-BE49-F238E27FC236}">
                      <a16:creationId xmlns:a16="http://schemas.microsoft.com/office/drawing/2014/main" id="{00000000-0008-0000-0A00-000020000000}"/>
                    </a:ext>
                  </a:extLst>
                </xdr:cNvPr>
                <xdr:cNvSpPr/>
              </xdr:nvSpPr>
              <xdr:spPr>
                <a:xfrm>
                  <a:off x="29849455" y="2179693"/>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890802-BC4A-4034-99D4-519BEE554BFA}" type="TxLink">
                    <a:rPr lang="en-US" sz="1600" b="1" i="0" u="none" strike="noStrike">
                      <a:solidFill>
                        <a:srgbClr val="FFFF00"/>
                      </a:solidFill>
                      <a:latin typeface="Century Gothic"/>
                    </a:rPr>
                    <a:pPr algn="ctr"/>
                    <a:t>40,0%</a:t>
                  </a:fld>
                  <a:endParaRPr lang="es-CO" sz="1800">
                    <a:solidFill>
                      <a:srgbClr val="FFFF00"/>
                    </a:solidFill>
                  </a:endParaRPr>
                </a:p>
              </xdr:txBody>
            </xdr:sp>
          </xdr:grpSp>
          <xdr:grpSp>
            <xdr:nvGrpSpPr>
              <xdr:cNvPr id="492" name="Grupo 491">
                <a:extLst>
                  <a:ext uri="{FF2B5EF4-FFF2-40B4-BE49-F238E27FC236}">
                    <a16:creationId xmlns:a16="http://schemas.microsoft.com/office/drawing/2014/main" id="{00000000-0008-0000-0A00-0000EC010000}"/>
                  </a:ext>
                </a:extLst>
              </xdr:cNvPr>
              <xdr:cNvGrpSpPr/>
            </xdr:nvGrpSpPr>
            <xdr:grpSpPr>
              <a:xfrm>
                <a:off x="8330530" y="13560566"/>
                <a:ext cx="770852" cy="272144"/>
                <a:chOff x="8330530" y="13560566"/>
                <a:chExt cx="770852" cy="272144"/>
              </a:xfrm>
            </xdr:grpSpPr>
            <xdr:sp macro="" textlink="$L$13">
              <xdr:nvSpPr>
                <xdr:cNvPr id="324" name="Rectángulo 323">
                  <a:extLst>
                    <a:ext uri="{FF2B5EF4-FFF2-40B4-BE49-F238E27FC236}">
                      <a16:creationId xmlns:a16="http://schemas.microsoft.com/office/drawing/2014/main" id="{00000000-0008-0000-0A00-000044010000}"/>
                    </a:ext>
                  </a:extLst>
                </xdr:cNvPr>
                <xdr:cNvSpPr/>
              </xdr:nvSpPr>
              <xdr:spPr>
                <a:xfrm>
                  <a:off x="8371601" y="1356056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ED8739-23E1-427F-B12C-06E95B1BB24C}" type="TxLink">
                    <a:rPr lang="en-US" sz="1100" b="1" i="0" u="none" strike="noStrike">
                      <a:solidFill>
                        <a:srgbClr val="FFFF00"/>
                      </a:solidFill>
                      <a:latin typeface="Century Gothic"/>
                    </a:rPr>
                    <a:pPr algn="ctr"/>
                    <a:t>2</a:t>
                  </a:fld>
                  <a:endParaRPr lang="es-CO" sz="2400" b="1">
                    <a:solidFill>
                      <a:srgbClr val="FFFF00"/>
                    </a:solidFill>
                  </a:endParaRPr>
                </a:p>
              </xdr:txBody>
            </xdr:sp>
            <xdr:sp macro="" textlink="$J$13">
              <xdr:nvSpPr>
                <xdr:cNvPr id="325" name="Rectángulo 324">
                  <a:extLst>
                    <a:ext uri="{FF2B5EF4-FFF2-40B4-BE49-F238E27FC236}">
                      <a16:creationId xmlns:a16="http://schemas.microsoft.com/office/drawing/2014/main" id="{00000000-0008-0000-0A00-000045010000}"/>
                    </a:ext>
                  </a:extLst>
                </xdr:cNvPr>
                <xdr:cNvSpPr/>
              </xdr:nvSpPr>
              <xdr:spPr>
                <a:xfrm>
                  <a:off x="8647695" y="135605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C5A287-A2C2-43F4-8A6F-5EA2E577CA93}" type="TxLink">
                    <a:rPr lang="en-US" sz="1100" b="1" i="0" u="none" strike="noStrike">
                      <a:solidFill>
                        <a:srgbClr val="FFFF00"/>
                      </a:solidFill>
                      <a:latin typeface="Century Gothic"/>
                    </a:rPr>
                    <a:pPr algn="ctr"/>
                    <a:t>5</a:t>
                  </a:fld>
                  <a:endParaRPr lang="es-CO" sz="2400" b="1">
                    <a:solidFill>
                      <a:srgbClr val="FFFF00"/>
                    </a:solidFill>
                  </a:endParaRPr>
                </a:p>
              </xdr:txBody>
            </xdr:sp>
            <xdr:sp macro="" textlink="">
              <xdr:nvSpPr>
                <xdr:cNvPr id="491" name="CuadroTexto 490">
                  <a:extLst>
                    <a:ext uri="{FF2B5EF4-FFF2-40B4-BE49-F238E27FC236}">
                      <a16:creationId xmlns:a16="http://schemas.microsoft.com/office/drawing/2014/main" id="{00000000-0008-0000-0A00-0000EB010000}"/>
                    </a:ext>
                  </a:extLst>
                </xdr:cNvPr>
                <xdr:cNvSpPr txBox="1"/>
              </xdr:nvSpPr>
              <xdr:spPr>
                <a:xfrm>
                  <a:off x="8330530" y="135643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496" name="Grupo 495">
              <a:extLst>
                <a:ext uri="{FF2B5EF4-FFF2-40B4-BE49-F238E27FC236}">
                  <a16:creationId xmlns:a16="http://schemas.microsoft.com/office/drawing/2014/main" id="{00000000-0008-0000-0A00-0000F0010000}"/>
                </a:ext>
              </a:extLst>
            </xdr:cNvPr>
            <xdr:cNvGrpSpPr/>
          </xdr:nvGrpSpPr>
          <xdr:grpSpPr>
            <a:xfrm>
              <a:off x="8986712" y="13100930"/>
              <a:ext cx="2173581" cy="728022"/>
              <a:chOff x="8986712" y="13100930"/>
              <a:chExt cx="2173581" cy="728022"/>
            </a:xfrm>
          </xdr:grpSpPr>
          <xdr:grpSp>
            <xdr:nvGrpSpPr>
              <xdr:cNvPr id="33" name="Grupo 32">
                <a:extLst>
                  <a:ext uri="{FF2B5EF4-FFF2-40B4-BE49-F238E27FC236}">
                    <a16:creationId xmlns:a16="http://schemas.microsoft.com/office/drawing/2014/main" id="{00000000-0008-0000-0A00-000021000000}"/>
                  </a:ext>
                </a:extLst>
              </xdr:cNvPr>
              <xdr:cNvGrpSpPr/>
            </xdr:nvGrpSpPr>
            <xdr:grpSpPr>
              <a:xfrm>
                <a:off x="8986712" y="13100930"/>
                <a:ext cx="2173581" cy="720000"/>
                <a:chOff x="28678271" y="2081892"/>
                <a:chExt cx="2012823" cy="585107"/>
              </a:xfrm>
            </xdr:grpSpPr>
            <xdr:sp macro="" textlink="">
              <xdr:nvSpPr>
                <xdr:cNvPr id="34" name="Cheurón 33">
                  <a:extLst>
                    <a:ext uri="{FF2B5EF4-FFF2-40B4-BE49-F238E27FC236}">
                      <a16:creationId xmlns:a16="http://schemas.microsoft.com/office/drawing/2014/main" id="{00000000-0008-0000-0A00-000022000000}"/>
                    </a:ext>
                  </a:extLst>
                </xdr:cNvPr>
                <xdr:cNvSpPr/>
              </xdr:nvSpPr>
              <xdr:spPr>
                <a:xfrm>
                  <a:off x="2867827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5" name="CuadroTexto 34">
                  <a:extLst>
                    <a:ext uri="{FF2B5EF4-FFF2-40B4-BE49-F238E27FC236}">
                      <a16:creationId xmlns:a16="http://schemas.microsoft.com/office/drawing/2014/main" id="{00000000-0008-0000-0A00-000023000000}"/>
                    </a:ext>
                  </a:extLst>
                </xdr:cNvPr>
                <xdr:cNvSpPr txBox="1"/>
              </xdr:nvSpPr>
              <xdr:spPr>
                <a:xfrm>
                  <a:off x="28906408" y="2166613"/>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M$14">
              <xdr:nvSpPr>
                <xdr:cNvPr id="36" name="Rectángulo redondeado 35">
                  <a:extLst>
                    <a:ext uri="{FF2B5EF4-FFF2-40B4-BE49-F238E27FC236}">
                      <a16:creationId xmlns:a16="http://schemas.microsoft.com/office/drawing/2014/main" id="{00000000-0008-0000-0A00-000024000000}"/>
                    </a:ext>
                  </a:extLst>
                </xdr:cNvPr>
                <xdr:cNvSpPr/>
              </xdr:nvSpPr>
              <xdr:spPr>
                <a:xfrm>
                  <a:off x="29824320"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F3AC10-9984-42F8-9A01-BE32B94A9C65}"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495" name="Grupo 494">
                <a:extLst>
                  <a:ext uri="{FF2B5EF4-FFF2-40B4-BE49-F238E27FC236}">
                    <a16:creationId xmlns:a16="http://schemas.microsoft.com/office/drawing/2014/main" id="{00000000-0008-0000-0A00-0000EF010000}"/>
                  </a:ext>
                </a:extLst>
              </xdr:cNvPr>
              <xdr:cNvGrpSpPr/>
            </xdr:nvGrpSpPr>
            <xdr:grpSpPr>
              <a:xfrm>
                <a:off x="10230583" y="13541544"/>
                <a:ext cx="770852" cy="287408"/>
                <a:chOff x="10230583" y="13541544"/>
                <a:chExt cx="770852" cy="287408"/>
              </a:xfrm>
            </xdr:grpSpPr>
            <xdr:sp macro="" textlink="$L$14">
              <xdr:nvSpPr>
                <xdr:cNvPr id="326" name="Rectángulo 325">
                  <a:extLst>
                    <a:ext uri="{FF2B5EF4-FFF2-40B4-BE49-F238E27FC236}">
                      <a16:creationId xmlns:a16="http://schemas.microsoft.com/office/drawing/2014/main" id="{00000000-0008-0000-0A00-000046010000}"/>
                    </a:ext>
                  </a:extLst>
                </xdr:cNvPr>
                <xdr:cNvSpPr/>
              </xdr:nvSpPr>
              <xdr:spPr>
                <a:xfrm>
                  <a:off x="10243446"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8B233F-90EE-4133-A7F7-3D32A5F47C51}" type="TxLink">
                    <a:rPr lang="en-US" sz="1100" b="1" i="0" u="none" strike="noStrike">
                      <a:solidFill>
                        <a:srgbClr val="FFFF00"/>
                      </a:solidFill>
                      <a:latin typeface="Century Gothic"/>
                    </a:rPr>
                    <a:pPr algn="ctr"/>
                    <a:t>2</a:t>
                  </a:fld>
                  <a:endParaRPr lang="es-CO" sz="2800" b="1">
                    <a:solidFill>
                      <a:srgbClr val="FFFF00"/>
                    </a:solidFill>
                  </a:endParaRPr>
                </a:p>
              </xdr:txBody>
            </xdr:sp>
            <xdr:sp macro="" textlink="$J$14">
              <xdr:nvSpPr>
                <xdr:cNvPr id="327" name="Rectángulo 326">
                  <a:extLst>
                    <a:ext uri="{FF2B5EF4-FFF2-40B4-BE49-F238E27FC236}">
                      <a16:creationId xmlns:a16="http://schemas.microsoft.com/office/drawing/2014/main" id="{00000000-0008-0000-0A00-000047010000}"/>
                    </a:ext>
                  </a:extLst>
                </xdr:cNvPr>
                <xdr:cNvSpPr/>
              </xdr:nvSpPr>
              <xdr:spPr>
                <a:xfrm>
                  <a:off x="10545523"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668F58C-15F1-4CB0-BF63-895BE213D47D}" type="TxLink">
                    <a:rPr lang="en-US" sz="1100" b="1" i="0" u="none" strike="noStrike">
                      <a:solidFill>
                        <a:srgbClr val="FFFF00"/>
                      </a:solidFill>
                      <a:latin typeface="Century Gothic"/>
                    </a:rPr>
                    <a:pPr algn="ctr"/>
                    <a:t>2</a:t>
                  </a:fld>
                  <a:endParaRPr lang="es-CO" sz="2800" b="1">
                    <a:solidFill>
                      <a:srgbClr val="FFFF00"/>
                    </a:solidFill>
                  </a:endParaRPr>
                </a:p>
              </xdr:txBody>
            </xdr:sp>
            <xdr:sp macro="" textlink="">
              <xdr:nvSpPr>
                <xdr:cNvPr id="494" name="CuadroTexto 493">
                  <a:extLst>
                    <a:ext uri="{FF2B5EF4-FFF2-40B4-BE49-F238E27FC236}">
                      <a16:creationId xmlns:a16="http://schemas.microsoft.com/office/drawing/2014/main" id="{00000000-0008-0000-0A00-0000EE010000}"/>
                    </a:ext>
                  </a:extLst>
                </xdr:cNvPr>
                <xdr:cNvSpPr txBox="1"/>
              </xdr:nvSpPr>
              <xdr:spPr>
                <a:xfrm>
                  <a:off x="10230583" y="1354154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499" name="Grupo 498">
              <a:extLst>
                <a:ext uri="{FF2B5EF4-FFF2-40B4-BE49-F238E27FC236}">
                  <a16:creationId xmlns:a16="http://schemas.microsoft.com/office/drawing/2014/main" id="{00000000-0008-0000-0A00-0000F3010000}"/>
                </a:ext>
              </a:extLst>
            </xdr:cNvPr>
            <xdr:cNvGrpSpPr/>
          </xdr:nvGrpSpPr>
          <xdr:grpSpPr>
            <a:xfrm>
              <a:off x="1254624" y="13881976"/>
              <a:ext cx="2195845" cy="725301"/>
              <a:chOff x="1254624" y="13881976"/>
              <a:chExt cx="2195845" cy="725301"/>
            </a:xfrm>
          </xdr:grpSpPr>
          <xdr:grpSp>
            <xdr:nvGrpSpPr>
              <xdr:cNvPr id="37" name="Grupo 36">
                <a:extLst>
                  <a:ext uri="{FF2B5EF4-FFF2-40B4-BE49-F238E27FC236}">
                    <a16:creationId xmlns:a16="http://schemas.microsoft.com/office/drawing/2014/main" id="{00000000-0008-0000-0A00-000025000000}"/>
                  </a:ext>
                </a:extLst>
              </xdr:cNvPr>
              <xdr:cNvGrpSpPr/>
            </xdr:nvGrpSpPr>
            <xdr:grpSpPr>
              <a:xfrm>
                <a:off x="1254624" y="13881976"/>
                <a:ext cx="2195845" cy="720000"/>
                <a:chOff x="28670251" y="2081892"/>
                <a:chExt cx="2033441" cy="585107"/>
              </a:xfrm>
            </xdr:grpSpPr>
            <xdr:sp macro="" textlink="">
              <xdr:nvSpPr>
                <xdr:cNvPr id="38" name="Cheurón 37">
                  <a:extLst>
                    <a:ext uri="{FF2B5EF4-FFF2-40B4-BE49-F238E27FC236}">
                      <a16:creationId xmlns:a16="http://schemas.microsoft.com/office/drawing/2014/main" id="{00000000-0008-0000-0A00-000026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39" name="CuadroTexto 38">
                  <a:extLst>
                    <a:ext uri="{FF2B5EF4-FFF2-40B4-BE49-F238E27FC236}">
                      <a16:creationId xmlns:a16="http://schemas.microsoft.com/office/drawing/2014/main" id="{00000000-0008-0000-0A00-000027000000}"/>
                    </a:ext>
                  </a:extLst>
                </xdr:cNvPr>
                <xdr:cNvSpPr txBox="1"/>
              </xdr:nvSpPr>
              <xdr:spPr>
                <a:xfrm>
                  <a:off x="28887716" y="2115280"/>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M$15">
              <xdr:nvSpPr>
                <xdr:cNvPr id="40" name="Rectángulo redondeado 39">
                  <a:extLst>
                    <a:ext uri="{FF2B5EF4-FFF2-40B4-BE49-F238E27FC236}">
                      <a16:creationId xmlns:a16="http://schemas.microsoft.com/office/drawing/2014/main" id="{00000000-0008-0000-0A00-000028000000}"/>
                    </a:ext>
                  </a:extLst>
                </xdr:cNvPr>
                <xdr:cNvSpPr/>
              </xdr:nvSpPr>
              <xdr:spPr>
                <a:xfrm>
                  <a:off x="29836918" y="215757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B70F24-3597-455E-9881-9F670DB698A4}"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498" name="Grupo 497">
                <a:extLst>
                  <a:ext uri="{FF2B5EF4-FFF2-40B4-BE49-F238E27FC236}">
                    <a16:creationId xmlns:a16="http://schemas.microsoft.com/office/drawing/2014/main" id="{00000000-0008-0000-0A00-0000F2010000}"/>
                  </a:ext>
                </a:extLst>
              </xdr:cNvPr>
              <xdr:cNvGrpSpPr/>
            </xdr:nvGrpSpPr>
            <xdr:grpSpPr>
              <a:xfrm>
                <a:off x="2520280" y="14325654"/>
                <a:ext cx="770852" cy="281623"/>
                <a:chOff x="2520280" y="14325654"/>
                <a:chExt cx="770852" cy="281623"/>
              </a:xfrm>
            </xdr:grpSpPr>
            <xdr:sp macro="" textlink="$L$15">
              <xdr:nvSpPr>
                <xdr:cNvPr id="328" name="Rectángulo 327">
                  <a:extLst>
                    <a:ext uri="{FF2B5EF4-FFF2-40B4-BE49-F238E27FC236}">
                      <a16:creationId xmlns:a16="http://schemas.microsoft.com/office/drawing/2014/main" id="{00000000-0008-0000-0A00-000048010000}"/>
                    </a:ext>
                  </a:extLst>
                </xdr:cNvPr>
                <xdr:cNvSpPr/>
              </xdr:nvSpPr>
              <xdr:spPr>
                <a:xfrm>
                  <a:off x="2544545"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52C3B7-84F3-4306-9F51-94264694E69F}" type="TxLink">
                    <a:rPr lang="en-US" sz="1100" b="1" i="0" u="none" strike="noStrike">
                      <a:solidFill>
                        <a:srgbClr val="FFFF00"/>
                      </a:solidFill>
                      <a:latin typeface="Century Gothic"/>
                    </a:rPr>
                    <a:pPr algn="ctr"/>
                    <a:t>2</a:t>
                  </a:fld>
                  <a:endParaRPr lang="es-CO" sz="3200" b="1">
                    <a:solidFill>
                      <a:srgbClr val="FFFF00"/>
                    </a:solidFill>
                  </a:endParaRPr>
                </a:p>
              </xdr:txBody>
            </xdr:sp>
            <xdr:sp macro="" textlink="$J$15">
              <xdr:nvSpPr>
                <xdr:cNvPr id="329" name="Rectángulo 328">
                  <a:extLst>
                    <a:ext uri="{FF2B5EF4-FFF2-40B4-BE49-F238E27FC236}">
                      <a16:creationId xmlns:a16="http://schemas.microsoft.com/office/drawing/2014/main" id="{00000000-0008-0000-0A00-000049010000}"/>
                    </a:ext>
                  </a:extLst>
                </xdr:cNvPr>
                <xdr:cNvSpPr/>
              </xdr:nvSpPr>
              <xdr:spPr>
                <a:xfrm>
                  <a:off x="2820639"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EA17CCE-9AE6-4CFC-AAE5-A1867B0BD6C0}" type="TxLink">
                    <a:rPr lang="en-US" sz="1100" b="1" i="0" u="none" strike="noStrike">
                      <a:solidFill>
                        <a:srgbClr val="FFFF00"/>
                      </a:solidFill>
                      <a:latin typeface="Century Gothic"/>
                    </a:rPr>
                    <a:pPr algn="ctr"/>
                    <a:t>2</a:t>
                  </a:fld>
                  <a:endParaRPr lang="es-CO" sz="3200" b="1">
                    <a:solidFill>
                      <a:srgbClr val="FFFF00"/>
                    </a:solidFill>
                  </a:endParaRPr>
                </a:p>
              </xdr:txBody>
            </xdr:sp>
            <xdr:sp macro="" textlink="">
              <xdr:nvSpPr>
                <xdr:cNvPr id="497" name="CuadroTexto 496">
                  <a:extLst>
                    <a:ext uri="{FF2B5EF4-FFF2-40B4-BE49-F238E27FC236}">
                      <a16:creationId xmlns:a16="http://schemas.microsoft.com/office/drawing/2014/main" id="{00000000-0008-0000-0A00-0000F1010000}"/>
                    </a:ext>
                  </a:extLst>
                </xdr:cNvPr>
                <xdr:cNvSpPr txBox="1"/>
              </xdr:nvSpPr>
              <xdr:spPr>
                <a:xfrm>
                  <a:off x="2520280" y="143256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502" name="Grupo 501">
              <a:extLst>
                <a:ext uri="{FF2B5EF4-FFF2-40B4-BE49-F238E27FC236}">
                  <a16:creationId xmlns:a16="http://schemas.microsoft.com/office/drawing/2014/main" id="{00000000-0008-0000-0A00-0000F6010000}"/>
                </a:ext>
              </a:extLst>
            </xdr:cNvPr>
            <xdr:cNvGrpSpPr/>
          </xdr:nvGrpSpPr>
          <xdr:grpSpPr>
            <a:xfrm>
              <a:off x="3216828" y="13884699"/>
              <a:ext cx="2168636" cy="720000"/>
              <a:chOff x="3216828" y="13884699"/>
              <a:chExt cx="2168636" cy="720000"/>
            </a:xfrm>
          </xdr:grpSpPr>
          <xdr:grpSp>
            <xdr:nvGrpSpPr>
              <xdr:cNvPr id="41" name="Grupo 40">
                <a:extLst>
                  <a:ext uri="{FF2B5EF4-FFF2-40B4-BE49-F238E27FC236}">
                    <a16:creationId xmlns:a16="http://schemas.microsoft.com/office/drawing/2014/main" id="{00000000-0008-0000-0A00-000029000000}"/>
                  </a:ext>
                </a:extLst>
              </xdr:cNvPr>
              <xdr:cNvGrpSpPr/>
            </xdr:nvGrpSpPr>
            <xdr:grpSpPr>
              <a:xfrm>
                <a:off x="3216828" y="13884699"/>
                <a:ext cx="2168636" cy="720000"/>
                <a:chOff x="28670251" y="2081892"/>
                <a:chExt cx="2008241" cy="585107"/>
              </a:xfrm>
            </xdr:grpSpPr>
            <xdr:sp macro="" textlink="">
              <xdr:nvSpPr>
                <xdr:cNvPr id="42" name="Cheurón 41">
                  <a:extLst>
                    <a:ext uri="{FF2B5EF4-FFF2-40B4-BE49-F238E27FC236}">
                      <a16:creationId xmlns:a16="http://schemas.microsoft.com/office/drawing/2014/main" id="{00000000-0008-0000-0A00-00002A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3" name="CuadroTexto 42">
                  <a:extLst>
                    <a:ext uri="{FF2B5EF4-FFF2-40B4-BE49-F238E27FC236}">
                      <a16:creationId xmlns:a16="http://schemas.microsoft.com/office/drawing/2014/main" id="{00000000-0008-0000-0A00-00002B000000}"/>
                    </a:ext>
                  </a:extLst>
                </xdr:cNvPr>
                <xdr:cNvSpPr txBox="1"/>
              </xdr:nvSpPr>
              <xdr:spPr>
                <a:xfrm>
                  <a:off x="28828294" y="2115280"/>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M$16">
              <xdr:nvSpPr>
                <xdr:cNvPr id="44" name="Rectángulo redondeado 43">
                  <a:extLst>
                    <a:ext uri="{FF2B5EF4-FFF2-40B4-BE49-F238E27FC236}">
                      <a16:creationId xmlns:a16="http://schemas.microsoft.com/office/drawing/2014/main" id="{00000000-0008-0000-0A00-00002C000000}"/>
                    </a:ext>
                  </a:extLst>
                </xdr:cNvPr>
                <xdr:cNvSpPr/>
              </xdr:nvSpPr>
              <xdr:spPr>
                <a:xfrm>
                  <a:off x="29811719"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F4CC68A-A8B4-405E-BE31-4D0AEC471047}"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501" name="Grupo 500">
                <a:extLst>
                  <a:ext uri="{FF2B5EF4-FFF2-40B4-BE49-F238E27FC236}">
                    <a16:creationId xmlns:a16="http://schemas.microsoft.com/office/drawing/2014/main" id="{00000000-0008-0000-0A00-0000F5010000}"/>
                  </a:ext>
                </a:extLst>
              </xdr:cNvPr>
              <xdr:cNvGrpSpPr/>
            </xdr:nvGrpSpPr>
            <xdr:grpSpPr>
              <a:xfrm>
                <a:off x="4471046" y="14320548"/>
                <a:ext cx="770852" cy="275845"/>
                <a:chOff x="4471046" y="14320548"/>
                <a:chExt cx="770852" cy="275845"/>
              </a:xfrm>
            </xdr:grpSpPr>
            <xdr:sp macro="" textlink="$L$16">
              <xdr:nvSpPr>
                <xdr:cNvPr id="330" name="Rectángulo 329">
                  <a:extLst>
                    <a:ext uri="{FF2B5EF4-FFF2-40B4-BE49-F238E27FC236}">
                      <a16:creationId xmlns:a16="http://schemas.microsoft.com/office/drawing/2014/main" id="{00000000-0008-0000-0A00-00004A010000}"/>
                    </a:ext>
                  </a:extLst>
                </xdr:cNvPr>
                <xdr:cNvSpPr/>
              </xdr:nvSpPr>
              <xdr:spPr>
                <a:xfrm>
                  <a:off x="4506693"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819823D-1A0E-43F1-92E4-21360E255D2E}" type="TxLink">
                    <a:rPr lang="en-US" sz="1100" b="1" i="0" u="none" strike="noStrike">
                      <a:solidFill>
                        <a:srgbClr val="FFFF00"/>
                      </a:solidFill>
                      <a:latin typeface="Century Gothic"/>
                    </a:rPr>
                    <a:pPr algn="ctr"/>
                    <a:t>1</a:t>
                  </a:fld>
                  <a:endParaRPr lang="es-CO" sz="3600" b="1">
                    <a:solidFill>
                      <a:srgbClr val="FFFF00"/>
                    </a:solidFill>
                  </a:endParaRPr>
                </a:p>
              </xdr:txBody>
            </xdr:sp>
            <xdr:sp macro="" textlink="$J$16">
              <xdr:nvSpPr>
                <xdr:cNvPr id="331" name="Rectángulo 330">
                  <a:extLst>
                    <a:ext uri="{FF2B5EF4-FFF2-40B4-BE49-F238E27FC236}">
                      <a16:creationId xmlns:a16="http://schemas.microsoft.com/office/drawing/2014/main" id="{00000000-0008-0000-0A00-00004B010000}"/>
                    </a:ext>
                  </a:extLst>
                </xdr:cNvPr>
                <xdr:cNvSpPr/>
              </xdr:nvSpPr>
              <xdr:spPr>
                <a:xfrm>
                  <a:off x="4782787"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9A0D945-88E7-4826-936C-0D30BB0A8EAF}" type="TxLink">
                    <a:rPr lang="en-US" sz="1100" b="1" i="0" u="none" strike="noStrike">
                      <a:solidFill>
                        <a:srgbClr val="FFFF00"/>
                      </a:solidFill>
                      <a:latin typeface="Century Gothic"/>
                    </a:rPr>
                    <a:pPr algn="ctr"/>
                    <a:t>1</a:t>
                  </a:fld>
                  <a:endParaRPr lang="es-CO" sz="3600" b="1">
                    <a:solidFill>
                      <a:srgbClr val="FFFF00"/>
                    </a:solidFill>
                  </a:endParaRPr>
                </a:p>
              </xdr:txBody>
            </xdr:sp>
            <xdr:sp macro="" textlink="">
              <xdr:nvSpPr>
                <xdr:cNvPr id="500" name="CuadroTexto 499">
                  <a:extLst>
                    <a:ext uri="{FF2B5EF4-FFF2-40B4-BE49-F238E27FC236}">
                      <a16:creationId xmlns:a16="http://schemas.microsoft.com/office/drawing/2014/main" id="{00000000-0008-0000-0A00-0000F4010000}"/>
                    </a:ext>
                  </a:extLst>
                </xdr:cNvPr>
                <xdr:cNvSpPr txBox="1"/>
              </xdr:nvSpPr>
              <xdr:spPr>
                <a:xfrm>
                  <a:off x="4471046" y="1432054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505" name="Grupo 504">
              <a:extLst>
                <a:ext uri="{FF2B5EF4-FFF2-40B4-BE49-F238E27FC236}">
                  <a16:creationId xmlns:a16="http://schemas.microsoft.com/office/drawing/2014/main" id="{00000000-0008-0000-0A00-0000F9010000}"/>
                </a:ext>
              </a:extLst>
            </xdr:cNvPr>
            <xdr:cNvGrpSpPr/>
          </xdr:nvGrpSpPr>
          <xdr:grpSpPr>
            <a:xfrm>
              <a:off x="5165316" y="13873815"/>
              <a:ext cx="2195847" cy="725301"/>
              <a:chOff x="5165316" y="13873815"/>
              <a:chExt cx="2195847" cy="725301"/>
            </a:xfrm>
          </xdr:grpSpPr>
          <xdr:grpSp>
            <xdr:nvGrpSpPr>
              <xdr:cNvPr id="45" name="Grupo 44">
                <a:extLst>
                  <a:ext uri="{FF2B5EF4-FFF2-40B4-BE49-F238E27FC236}">
                    <a16:creationId xmlns:a16="http://schemas.microsoft.com/office/drawing/2014/main" id="{00000000-0008-0000-0A00-00002D000000}"/>
                  </a:ext>
                </a:extLst>
              </xdr:cNvPr>
              <xdr:cNvGrpSpPr/>
            </xdr:nvGrpSpPr>
            <xdr:grpSpPr>
              <a:xfrm>
                <a:off x="5165316" y="13873815"/>
                <a:ext cx="2195847" cy="720000"/>
                <a:chOff x="28670251" y="2081892"/>
                <a:chExt cx="2033443" cy="585107"/>
              </a:xfrm>
            </xdr:grpSpPr>
            <xdr:sp macro="" textlink="">
              <xdr:nvSpPr>
                <xdr:cNvPr id="46" name="Cheurón 45">
                  <a:extLst>
                    <a:ext uri="{FF2B5EF4-FFF2-40B4-BE49-F238E27FC236}">
                      <a16:creationId xmlns:a16="http://schemas.microsoft.com/office/drawing/2014/main" id="{00000000-0008-0000-0A00-00002E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47" name="CuadroTexto 46">
                  <a:extLst>
                    <a:ext uri="{FF2B5EF4-FFF2-40B4-BE49-F238E27FC236}">
                      <a16:creationId xmlns:a16="http://schemas.microsoft.com/office/drawing/2014/main" id="{00000000-0008-0000-0A00-00002F000000}"/>
                    </a:ext>
                  </a:extLst>
                </xdr:cNvPr>
                <xdr:cNvSpPr txBox="1"/>
              </xdr:nvSpPr>
              <xdr:spPr>
                <a:xfrm>
                  <a:off x="28808668" y="2126338"/>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M$17">
              <xdr:nvSpPr>
                <xdr:cNvPr id="48" name="Rectángulo redondeado 47">
                  <a:extLst>
                    <a:ext uri="{FF2B5EF4-FFF2-40B4-BE49-F238E27FC236}">
                      <a16:creationId xmlns:a16="http://schemas.microsoft.com/office/drawing/2014/main" id="{00000000-0008-0000-0A00-000030000000}"/>
                    </a:ext>
                  </a:extLst>
                </xdr:cNvPr>
                <xdr:cNvSpPr/>
              </xdr:nvSpPr>
              <xdr:spPr>
                <a:xfrm>
                  <a:off x="29836919"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4DBF16E-EF0C-4682-AF2E-12DBDA345092}" type="TxLink">
                    <a:rPr lang="en-US" sz="1600" b="1" i="0" u="none" strike="noStrike">
                      <a:solidFill>
                        <a:srgbClr val="FFFF00"/>
                      </a:solidFill>
                      <a:latin typeface="Century Gothic"/>
                    </a:rPr>
                    <a:pPr algn="ctr"/>
                    <a:t>50,0%</a:t>
                  </a:fld>
                  <a:endParaRPr lang="es-CO" sz="1800">
                    <a:solidFill>
                      <a:srgbClr val="FFFF00"/>
                    </a:solidFill>
                  </a:endParaRPr>
                </a:p>
              </xdr:txBody>
            </xdr:sp>
          </xdr:grpSp>
          <xdr:grpSp>
            <xdr:nvGrpSpPr>
              <xdr:cNvPr id="504" name="Grupo 503">
                <a:extLst>
                  <a:ext uri="{FF2B5EF4-FFF2-40B4-BE49-F238E27FC236}">
                    <a16:creationId xmlns:a16="http://schemas.microsoft.com/office/drawing/2014/main" id="{00000000-0008-0000-0A00-0000F8010000}"/>
                  </a:ext>
                </a:extLst>
              </xdr:cNvPr>
              <xdr:cNvGrpSpPr/>
            </xdr:nvGrpSpPr>
            <xdr:grpSpPr>
              <a:xfrm>
                <a:off x="6452743" y="14320549"/>
                <a:ext cx="770852" cy="278567"/>
                <a:chOff x="6452743" y="14320549"/>
                <a:chExt cx="770852" cy="278567"/>
              </a:xfrm>
            </xdr:grpSpPr>
            <xdr:sp macro="" textlink="$L$17">
              <xdr:nvSpPr>
                <xdr:cNvPr id="332" name="Rectángulo 331">
                  <a:extLst>
                    <a:ext uri="{FF2B5EF4-FFF2-40B4-BE49-F238E27FC236}">
                      <a16:creationId xmlns:a16="http://schemas.microsoft.com/office/drawing/2014/main" id="{00000000-0008-0000-0A00-00004C010000}"/>
                    </a:ext>
                  </a:extLst>
                </xdr:cNvPr>
                <xdr:cNvSpPr/>
              </xdr:nvSpPr>
              <xdr:spPr>
                <a:xfrm>
                  <a:off x="6482448"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114EA6-0E3F-4548-AD48-0C289838D0FE}" type="TxLink">
                    <a:rPr lang="en-US" sz="1100" b="1" i="0" u="none" strike="noStrike">
                      <a:solidFill>
                        <a:srgbClr val="FFFF00"/>
                      </a:solidFill>
                      <a:latin typeface="Century Gothic"/>
                    </a:rPr>
                    <a:pPr algn="ctr"/>
                    <a:t>2</a:t>
                  </a:fld>
                  <a:endParaRPr lang="es-CO" sz="4000" b="1">
                    <a:solidFill>
                      <a:srgbClr val="FFFF00"/>
                    </a:solidFill>
                  </a:endParaRPr>
                </a:p>
              </xdr:txBody>
            </xdr:sp>
            <xdr:sp macro="" textlink="$J$17">
              <xdr:nvSpPr>
                <xdr:cNvPr id="333" name="Rectángulo 332">
                  <a:extLst>
                    <a:ext uri="{FF2B5EF4-FFF2-40B4-BE49-F238E27FC236}">
                      <a16:creationId xmlns:a16="http://schemas.microsoft.com/office/drawing/2014/main" id="{00000000-0008-0000-0A00-00004D010000}"/>
                    </a:ext>
                  </a:extLst>
                </xdr:cNvPr>
                <xdr:cNvSpPr/>
              </xdr:nvSpPr>
              <xdr:spPr>
                <a:xfrm>
                  <a:off x="6758543"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C4A922-5423-4A04-B932-B03DC46BD7A4}" type="TxLink">
                    <a:rPr lang="en-US" sz="1100" b="1" i="0" u="none" strike="noStrike">
                      <a:solidFill>
                        <a:srgbClr val="FFFF00"/>
                      </a:solidFill>
                      <a:latin typeface="Century Gothic"/>
                    </a:rPr>
                    <a:pPr algn="ctr"/>
                    <a:t>4</a:t>
                  </a:fld>
                  <a:endParaRPr lang="es-CO" sz="4000" b="1">
                    <a:solidFill>
                      <a:srgbClr val="FFFF00"/>
                    </a:solidFill>
                  </a:endParaRPr>
                </a:p>
              </xdr:txBody>
            </xdr:sp>
            <xdr:sp macro="" textlink="">
              <xdr:nvSpPr>
                <xdr:cNvPr id="503" name="CuadroTexto 502">
                  <a:extLst>
                    <a:ext uri="{FF2B5EF4-FFF2-40B4-BE49-F238E27FC236}">
                      <a16:creationId xmlns:a16="http://schemas.microsoft.com/office/drawing/2014/main" id="{00000000-0008-0000-0A00-0000F7010000}"/>
                    </a:ext>
                  </a:extLst>
                </xdr:cNvPr>
                <xdr:cNvSpPr txBox="1"/>
              </xdr:nvSpPr>
              <xdr:spPr>
                <a:xfrm>
                  <a:off x="6452743" y="143205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508" name="Grupo 507">
              <a:extLst>
                <a:ext uri="{FF2B5EF4-FFF2-40B4-BE49-F238E27FC236}">
                  <a16:creationId xmlns:a16="http://schemas.microsoft.com/office/drawing/2014/main" id="{00000000-0008-0000-0A00-0000FC010000}"/>
                </a:ext>
              </a:extLst>
            </xdr:cNvPr>
            <xdr:cNvGrpSpPr/>
          </xdr:nvGrpSpPr>
          <xdr:grpSpPr>
            <a:xfrm>
              <a:off x="7113849" y="13876538"/>
              <a:ext cx="2116806" cy="725301"/>
              <a:chOff x="7113849" y="13876538"/>
              <a:chExt cx="2116806" cy="725301"/>
            </a:xfrm>
          </xdr:grpSpPr>
          <xdr:grpSp>
            <xdr:nvGrpSpPr>
              <xdr:cNvPr id="49" name="Grupo 48">
                <a:extLst>
                  <a:ext uri="{FF2B5EF4-FFF2-40B4-BE49-F238E27FC236}">
                    <a16:creationId xmlns:a16="http://schemas.microsoft.com/office/drawing/2014/main" id="{00000000-0008-0000-0A00-000031000000}"/>
                  </a:ext>
                </a:extLst>
              </xdr:cNvPr>
              <xdr:cNvGrpSpPr/>
            </xdr:nvGrpSpPr>
            <xdr:grpSpPr>
              <a:xfrm>
                <a:off x="7113849" y="13876538"/>
                <a:ext cx="2116806" cy="720000"/>
                <a:chOff x="28670251" y="2081892"/>
                <a:chExt cx="2000250" cy="585107"/>
              </a:xfrm>
            </xdr:grpSpPr>
            <xdr:sp macro="" textlink="">
              <xdr:nvSpPr>
                <xdr:cNvPr id="50" name="Cheurón 49">
                  <a:extLst>
                    <a:ext uri="{FF2B5EF4-FFF2-40B4-BE49-F238E27FC236}">
                      <a16:creationId xmlns:a16="http://schemas.microsoft.com/office/drawing/2014/main" id="{00000000-0008-0000-0A00-00003200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1" name="CuadroTexto 50">
                  <a:extLst>
                    <a:ext uri="{FF2B5EF4-FFF2-40B4-BE49-F238E27FC236}">
                      <a16:creationId xmlns:a16="http://schemas.microsoft.com/office/drawing/2014/main" id="{00000000-0008-0000-0A00-000033000000}"/>
                    </a:ext>
                  </a:extLst>
                </xdr:cNvPr>
                <xdr:cNvSpPr txBox="1"/>
              </xdr:nvSpPr>
              <xdr:spPr>
                <a:xfrm>
                  <a:off x="28928089" y="2122191"/>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M$18">
              <xdr:nvSpPr>
                <xdr:cNvPr id="52" name="Rectángulo redondeado 51">
                  <a:extLst>
                    <a:ext uri="{FF2B5EF4-FFF2-40B4-BE49-F238E27FC236}">
                      <a16:creationId xmlns:a16="http://schemas.microsoft.com/office/drawing/2014/main" id="{00000000-0008-0000-0A00-000034000000}"/>
                    </a:ext>
                  </a:extLst>
                </xdr:cNvPr>
                <xdr:cNvSpPr/>
              </xdr:nvSpPr>
              <xdr:spPr>
                <a:xfrm>
                  <a:off x="29785163"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0EE6F0-D2BE-4C04-9381-5D073D7487E3}" type="TxLink">
                    <a:rPr lang="en-US" sz="1600" b="1" i="0" u="none" strike="noStrike">
                      <a:solidFill>
                        <a:srgbClr val="FFFF00"/>
                      </a:solidFill>
                      <a:latin typeface="Century Gothic"/>
                    </a:rPr>
                    <a:pPr algn="ctr"/>
                    <a:t>100,0%</a:t>
                  </a:fld>
                  <a:endParaRPr lang="es-CO" sz="1800">
                    <a:solidFill>
                      <a:srgbClr val="FFFF00"/>
                    </a:solidFill>
                  </a:endParaRPr>
                </a:p>
              </xdr:txBody>
            </xdr:sp>
          </xdr:grpSp>
          <xdr:grpSp>
            <xdr:nvGrpSpPr>
              <xdr:cNvPr id="507" name="Grupo 506">
                <a:extLst>
                  <a:ext uri="{FF2B5EF4-FFF2-40B4-BE49-F238E27FC236}">
                    <a16:creationId xmlns:a16="http://schemas.microsoft.com/office/drawing/2014/main" id="{00000000-0008-0000-0A00-0000FB010000}"/>
                  </a:ext>
                </a:extLst>
              </xdr:cNvPr>
              <xdr:cNvGrpSpPr/>
            </xdr:nvGrpSpPr>
            <xdr:grpSpPr>
              <a:xfrm>
                <a:off x="8340423" y="14317149"/>
                <a:ext cx="770852" cy="284690"/>
                <a:chOff x="8340423" y="14317149"/>
                <a:chExt cx="770852" cy="284690"/>
              </a:xfrm>
            </xdr:grpSpPr>
            <xdr:sp macro="" textlink="$L$18">
              <xdr:nvSpPr>
                <xdr:cNvPr id="334" name="Rectángulo 333">
                  <a:extLst>
                    <a:ext uri="{FF2B5EF4-FFF2-40B4-BE49-F238E27FC236}">
                      <a16:creationId xmlns:a16="http://schemas.microsoft.com/office/drawing/2014/main" id="{00000000-0008-0000-0A00-00004E010000}"/>
                    </a:ext>
                  </a:extLst>
                </xdr:cNvPr>
                <xdr:cNvSpPr/>
              </xdr:nvSpPr>
              <xdr:spPr>
                <a:xfrm>
                  <a:off x="8376562"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D8FD84E-6AD1-441D-9077-365A42E29A77}"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18">
              <xdr:nvSpPr>
                <xdr:cNvPr id="335" name="Rectángulo 334">
                  <a:extLst>
                    <a:ext uri="{FF2B5EF4-FFF2-40B4-BE49-F238E27FC236}">
                      <a16:creationId xmlns:a16="http://schemas.microsoft.com/office/drawing/2014/main" id="{00000000-0008-0000-0A00-00004F010000}"/>
                    </a:ext>
                  </a:extLst>
                </xdr:cNvPr>
                <xdr:cNvSpPr/>
              </xdr:nvSpPr>
              <xdr:spPr>
                <a:xfrm>
                  <a:off x="8652656"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7161BF-A4B8-46D4-816A-C00E0D05AEA2}"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
              <xdr:nvSpPr>
                <xdr:cNvPr id="506" name="CuadroTexto 505">
                  <a:extLst>
                    <a:ext uri="{FF2B5EF4-FFF2-40B4-BE49-F238E27FC236}">
                      <a16:creationId xmlns:a16="http://schemas.microsoft.com/office/drawing/2014/main" id="{00000000-0008-0000-0A00-0000FA010000}"/>
                    </a:ext>
                  </a:extLst>
                </xdr:cNvPr>
                <xdr:cNvSpPr txBox="1"/>
              </xdr:nvSpPr>
              <xdr:spPr>
                <a:xfrm>
                  <a:off x="8340423" y="143171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511" name="Grupo 510">
              <a:extLst>
                <a:ext uri="{FF2B5EF4-FFF2-40B4-BE49-F238E27FC236}">
                  <a16:creationId xmlns:a16="http://schemas.microsoft.com/office/drawing/2014/main" id="{00000000-0008-0000-0A00-0000FF010000}"/>
                </a:ext>
              </a:extLst>
            </xdr:cNvPr>
            <xdr:cNvGrpSpPr/>
          </xdr:nvGrpSpPr>
          <xdr:grpSpPr>
            <a:xfrm>
              <a:off x="9030232" y="13879260"/>
              <a:ext cx="2116806" cy="725302"/>
              <a:chOff x="9030232" y="13879260"/>
              <a:chExt cx="2116806" cy="725302"/>
            </a:xfrm>
          </xdr:grpSpPr>
          <xdr:grpSp>
            <xdr:nvGrpSpPr>
              <xdr:cNvPr id="53" name="Grupo 52">
                <a:extLst>
                  <a:ext uri="{FF2B5EF4-FFF2-40B4-BE49-F238E27FC236}">
                    <a16:creationId xmlns:a16="http://schemas.microsoft.com/office/drawing/2014/main" id="{00000000-0008-0000-0A00-000035000000}"/>
                  </a:ext>
                </a:extLst>
              </xdr:cNvPr>
              <xdr:cNvGrpSpPr/>
            </xdr:nvGrpSpPr>
            <xdr:grpSpPr>
              <a:xfrm>
                <a:off x="9030232" y="13879260"/>
                <a:ext cx="2116806" cy="720000"/>
                <a:chOff x="28678435" y="2081892"/>
                <a:chExt cx="2000250" cy="585107"/>
              </a:xfrm>
            </xdr:grpSpPr>
            <xdr:sp macro="" textlink="">
              <xdr:nvSpPr>
                <xdr:cNvPr id="54" name="Cheurón 53">
                  <a:extLst>
                    <a:ext uri="{FF2B5EF4-FFF2-40B4-BE49-F238E27FC236}">
                      <a16:creationId xmlns:a16="http://schemas.microsoft.com/office/drawing/2014/main" id="{00000000-0008-0000-0A00-000036000000}"/>
                    </a:ext>
                  </a:extLst>
                </xdr:cNvPr>
                <xdr:cNvSpPr/>
              </xdr:nvSpPr>
              <xdr:spPr>
                <a:xfrm>
                  <a:off x="28678435"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55" name="CuadroTexto 54">
                  <a:extLst>
                    <a:ext uri="{FF2B5EF4-FFF2-40B4-BE49-F238E27FC236}">
                      <a16:creationId xmlns:a16="http://schemas.microsoft.com/office/drawing/2014/main" id="{00000000-0008-0000-0A00-000037000000}"/>
                    </a:ext>
                  </a:extLst>
                </xdr:cNvPr>
                <xdr:cNvSpPr txBox="1"/>
              </xdr:nvSpPr>
              <xdr:spPr>
                <a:xfrm>
                  <a:off x="28858849"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M$19">
              <xdr:nvSpPr>
                <xdr:cNvPr id="56" name="Rectángulo redondeado 55">
                  <a:extLst>
                    <a:ext uri="{FF2B5EF4-FFF2-40B4-BE49-F238E27FC236}">
                      <a16:creationId xmlns:a16="http://schemas.microsoft.com/office/drawing/2014/main" id="{00000000-0008-0000-0A00-000038000000}"/>
                    </a:ext>
                  </a:extLst>
                </xdr:cNvPr>
                <xdr:cNvSpPr/>
              </xdr:nvSpPr>
              <xdr:spPr>
                <a:xfrm>
                  <a:off x="29785164"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DB9339-8C9F-4440-BD2D-DC144B064370}" type="TxLink">
                    <a:rPr lang="en-US" sz="1600" b="1" i="0" u="none" strike="noStrike">
                      <a:solidFill>
                        <a:srgbClr val="FFFF00"/>
                      </a:solidFill>
                      <a:latin typeface="Century Gothic"/>
                    </a:rPr>
                    <a:pPr algn="ctr"/>
                    <a:t>50,0%</a:t>
                  </a:fld>
                  <a:endParaRPr lang="es-CO" sz="1800">
                    <a:solidFill>
                      <a:srgbClr val="FFFF00"/>
                    </a:solidFill>
                  </a:endParaRPr>
                </a:p>
              </xdr:txBody>
            </xdr:sp>
          </xdr:grpSp>
          <xdr:grpSp>
            <xdr:nvGrpSpPr>
              <xdr:cNvPr id="510" name="Grupo 509">
                <a:extLst>
                  <a:ext uri="{FF2B5EF4-FFF2-40B4-BE49-F238E27FC236}">
                    <a16:creationId xmlns:a16="http://schemas.microsoft.com/office/drawing/2014/main" id="{00000000-0008-0000-0A00-0000FE010000}"/>
                  </a:ext>
                </a:extLst>
              </xdr:cNvPr>
              <xdr:cNvGrpSpPr/>
            </xdr:nvGrpSpPr>
            <xdr:grpSpPr>
              <a:xfrm>
                <a:off x="10235530" y="14325652"/>
                <a:ext cx="770852" cy="278910"/>
                <a:chOff x="10235530" y="14325652"/>
                <a:chExt cx="770852" cy="278910"/>
              </a:xfrm>
            </xdr:grpSpPr>
            <xdr:sp macro="" textlink="$L$19">
              <xdr:nvSpPr>
                <xdr:cNvPr id="336" name="Rectángulo 335">
                  <a:extLst>
                    <a:ext uri="{FF2B5EF4-FFF2-40B4-BE49-F238E27FC236}">
                      <a16:creationId xmlns:a16="http://schemas.microsoft.com/office/drawing/2014/main" id="{00000000-0008-0000-0A00-000050010000}"/>
                    </a:ext>
                  </a:extLst>
                </xdr:cNvPr>
                <xdr:cNvSpPr/>
              </xdr:nvSpPr>
              <xdr:spPr>
                <a:xfrm>
                  <a:off x="10270676" y="1433241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48118A-A432-40D2-A22C-75D499CE9CFD}"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19">
              <xdr:nvSpPr>
                <xdr:cNvPr id="337" name="Rectángulo 336">
                  <a:extLst>
                    <a:ext uri="{FF2B5EF4-FFF2-40B4-BE49-F238E27FC236}">
                      <a16:creationId xmlns:a16="http://schemas.microsoft.com/office/drawing/2014/main" id="{00000000-0008-0000-0A00-000051010000}"/>
                    </a:ext>
                  </a:extLst>
                </xdr:cNvPr>
                <xdr:cNvSpPr/>
              </xdr:nvSpPr>
              <xdr:spPr>
                <a:xfrm>
                  <a:off x="10538110" y="1433241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86546A1-C646-4F7E-BA1D-86E6CE846338}"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
              <xdr:nvSpPr>
                <xdr:cNvPr id="509" name="CuadroTexto 508">
                  <a:extLst>
                    <a:ext uri="{FF2B5EF4-FFF2-40B4-BE49-F238E27FC236}">
                      <a16:creationId xmlns:a16="http://schemas.microsoft.com/office/drawing/2014/main" id="{00000000-0008-0000-0A00-0000FD010000}"/>
                    </a:ext>
                  </a:extLst>
                </xdr:cNvPr>
                <xdr:cNvSpPr txBox="1"/>
              </xdr:nvSpPr>
              <xdr:spPr>
                <a:xfrm>
                  <a:off x="10235530" y="1432565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90" name="Grupo 89">
            <a:extLst>
              <a:ext uri="{FF2B5EF4-FFF2-40B4-BE49-F238E27FC236}">
                <a16:creationId xmlns:a16="http://schemas.microsoft.com/office/drawing/2014/main" id="{00000000-0008-0000-0A00-00005A000000}"/>
              </a:ext>
            </a:extLst>
          </xdr:cNvPr>
          <xdr:cNvGrpSpPr/>
        </xdr:nvGrpSpPr>
        <xdr:grpSpPr>
          <a:xfrm>
            <a:off x="387640" y="14857069"/>
            <a:ext cx="10838929" cy="1930216"/>
            <a:chOff x="386443" y="14671682"/>
            <a:chExt cx="10841352" cy="1895629"/>
          </a:xfrm>
        </xdr:grpSpPr>
        <xdr:grpSp>
          <xdr:nvGrpSpPr>
            <xdr:cNvPr id="120" name="Grupo 119">
              <a:extLst>
                <a:ext uri="{FF2B5EF4-FFF2-40B4-BE49-F238E27FC236}">
                  <a16:creationId xmlns:a16="http://schemas.microsoft.com/office/drawing/2014/main" id="{00000000-0008-0000-0A00-000078000000}"/>
                </a:ext>
              </a:extLst>
            </xdr:cNvPr>
            <xdr:cNvGrpSpPr/>
          </xdr:nvGrpSpPr>
          <xdr:grpSpPr>
            <a:xfrm>
              <a:off x="386443" y="14956963"/>
              <a:ext cx="720000" cy="1610348"/>
              <a:chOff x="27391177" y="8406495"/>
              <a:chExt cx="720000" cy="1610348"/>
            </a:xfrm>
          </xdr:grpSpPr>
          <xdr:sp macro="" textlink="">
            <xdr:nvSpPr>
              <xdr:cNvPr id="133" name="Rectángulo 132">
                <a:extLst>
                  <a:ext uri="{FF2B5EF4-FFF2-40B4-BE49-F238E27FC236}">
                    <a16:creationId xmlns:a16="http://schemas.microsoft.com/office/drawing/2014/main" id="{00000000-0008-0000-0A00-000085000000}"/>
                  </a:ext>
                </a:extLst>
              </xdr:cNvPr>
              <xdr:cNvSpPr/>
            </xdr:nvSpPr>
            <xdr:spPr>
              <a:xfrm>
                <a:off x="27391177" y="8450034"/>
                <a:ext cx="720000"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34" name="CuadroTexto 133">
                <a:extLst>
                  <a:ext uri="{FF2B5EF4-FFF2-40B4-BE49-F238E27FC236}">
                    <a16:creationId xmlns:a16="http://schemas.microsoft.com/office/drawing/2014/main" id="{00000000-0008-0000-0A00-000086000000}"/>
                  </a:ext>
                </a:extLst>
              </xdr:cNvPr>
              <xdr:cNvSpPr txBox="1"/>
            </xdr:nvSpPr>
            <xdr:spPr>
              <a:xfrm rot="16200000">
                <a:off x="26930701"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124" name="Flecha abajo 123">
              <a:extLst>
                <a:ext uri="{FF2B5EF4-FFF2-40B4-BE49-F238E27FC236}">
                  <a16:creationId xmlns:a16="http://schemas.microsoft.com/office/drawing/2014/main" id="{00000000-0008-0000-0A00-00007C000000}"/>
                </a:ext>
              </a:extLst>
            </xdr:cNvPr>
            <xdr:cNvSpPr/>
          </xdr:nvSpPr>
          <xdr:spPr>
            <a:xfrm rot="10800000">
              <a:off x="5788521" y="14671682"/>
              <a:ext cx="468000" cy="288000"/>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5" name="Grupo 64">
              <a:extLst>
                <a:ext uri="{FF2B5EF4-FFF2-40B4-BE49-F238E27FC236}">
                  <a16:creationId xmlns:a16="http://schemas.microsoft.com/office/drawing/2014/main" id="{00000000-0008-0000-0A00-000041000000}"/>
                </a:ext>
              </a:extLst>
            </xdr:cNvPr>
            <xdr:cNvGrpSpPr/>
          </xdr:nvGrpSpPr>
          <xdr:grpSpPr>
            <a:xfrm>
              <a:off x="1232807" y="15003214"/>
              <a:ext cx="2160000" cy="747069"/>
              <a:chOff x="1232807" y="15003214"/>
              <a:chExt cx="2160000" cy="747069"/>
            </a:xfrm>
          </xdr:grpSpPr>
          <xdr:grpSp>
            <xdr:nvGrpSpPr>
              <xdr:cNvPr id="138" name="Grupo 137">
                <a:extLst>
                  <a:ext uri="{FF2B5EF4-FFF2-40B4-BE49-F238E27FC236}">
                    <a16:creationId xmlns:a16="http://schemas.microsoft.com/office/drawing/2014/main" id="{00000000-0008-0000-0A00-00008A000000}"/>
                  </a:ext>
                </a:extLst>
              </xdr:cNvPr>
              <xdr:cNvGrpSpPr/>
            </xdr:nvGrpSpPr>
            <xdr:grpSpPr>
              <a:xfrm>
                <a:off x="1232807" y="15003214"/>
                <a:ext cx="2160000" cy="726638"/>
                <a:chOff x="28351843" y="12458683"/>
                <a:chExt cx="2160000" cy="726638"/>
              </a:xfrm>
            </xdr:grpSpPr>
            <xdr:sp macro="" textlink="">
              <xdr:nvSpPr>
                <xdr:cNvPr id="135" name="Cheurón 134">
                  <a:extLst>
                    <a:ext uri="{FF2B5EF4-FFF2-40B4-BE49-F238E27FC236}">
                      <a16:creationId xmlns:a16="http://schemas.microsoft.com/office/drawing/2014/main" id="{00000000-0008-0000-0A00-000087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36" name="CuadroTexto 135">
                  <a:extLst>
                    <a:ext uri="{FF2B5EF4-FFF2-40B4-BE49-F238E27FC236}">
                      <a16:creationId xmlns:a16="http://schemas.microsoft.com/office/drawing/2014/main" id="{00000000-0008-0000-0A00-00008800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M$20">
              <xdr:nvSpPr>
                <xdr:cNvPr id="137" name="Rectángulo redondeado 136">
                  <a:extLst>
                    <a:ext uri="{FF2B5EF4-FFF2-40B4-BE49-F238E27FC236}">
                      <a16:creationId xmlns:a16="http://schemas.microsoft.com/office/drawing/2014/main" id="{00000000-0008-0000-0A00-000089000000}"/>
                    </a:ext>
                  </a:extLst>
                </xdr:cNvPr>
                <xdr:cNvSpPr/>
              </xdr:nvSpPr>
              <xdr:spPr>
                <a:xfrm>
                  <a:off x="29557264" y="1257903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7B9DA45-1564-4925-8E3C-F1C11C6F788C}" type="TxLink">
                    <a:rPr lang="en-US" sz="1600" b="1" i="0" u="none" strike="noStrike">
                      <a:solidFill>
                        <a:srgbClr val="FFFF00"/>
                      </a:solidFill>
                      <a:latin typeface="Century Gothic"/>
                    </a:rPr>
                    <a:pPr algn="ctr"/>
                    <a:t>80,0%</a:t>
                  </a:fld>
                  <a:endParaRPr lang="es-CO" sz="2000">
                    <a:solidFill>
                      <a:srgbClr val="FFFF00"/>
                    </a:solidFill>
                  </a:endParaRPr>
                </a:p>
              </xdr:txBody>
            </xdr:sp>
          </xdr:grpSp>
          <xdr:grpSp>
            <xdr:nvGrpSpPr>
              <xdr:cNvPr id="64" name="Grupo 63">
                <a:extLst>
                  <a:ext uri="{FF2B5EF4-FFF2-40B4-BE49-F238E27FC236}">
                    <a16:creationId xmlns:a16="http://schemas.microsoft.com/office/drawing/2014/main" id="{00000000-0008-0000-0A00-000040000000}"/>
                  </a:ext>
                </a:extLst>
              </xdr:cNvPr>
              <xdr:cNvGrpSpPr/>
            </xdr:nvGrpSpPr>
            <xdr:grpSpPr>
              <a:xfrm>
                <a:off x="2474511" y="15468653"/>
                <a:ext cx="770852" cy="281630"/>
                <a:chOff x="2474511" y="15468653"/>
                <a:chExt cx="770852" cy="281630"/>
              </a:xfrm>
            </xdr:grpSpPr>
            <xdr:sp macro="" textlink="$L$20">
              <xdr:nvSpPr>
                <xdr:cNvPr id="338" name="Rectángulo 337">
                  <a:extLst>
                    <a:ext uri="{FF2B5EF4-FFF2-40B4-BE49-F238E27FC236}">
                      <a16:creationId xmlns:a16="http://schemas.microsoft.com/office/drawing/2014/main" id="{00000000-0008-0000-0A00-000052010000}"/>
                    </a:ext>
                  </a:extLst>
                </xdr:cNvPr>
                <xdr:cNvSpPr/>
              </xdr:nvSpPr>
              <xdr:spPr>
                <a:xfrm>
                  <a:off x="2490114" y="15478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6A62B81-4455-4CFB-8D9D-AE6C5702C82E}"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0">
              <xdr:nvSpPr>
                <xdr:cNvPr id="339" name="Rectángulo 338">
                  <a:extLst>
                    <a:ext uri="{FF2B5EF4-FFF2-40B4-BE49-F238E27FC236}">
                      <a16:creationId xmlns:a16="http://schemas.microsoft.com/office/drawing/2014/main" id="{00000000-0008-0000-0A00-000053010000}"/>
                    </a:ext>
                  </a:extLst>
                </xdr:cNvPr>
                <xdr:cNvSpPr/>
              </xdr:nvSpPr>
              <xdr:spPr>
                <a:xfrm>
                  <a:off x="2766208" y="15478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A2BC07F-426B-4653-907F-59D5C6316511}" type="TxLink">
                    <a:rPr lang="en-US" sz="1100" b="1" i="0" u="none" strike="noStrike">
                      <a:solidFill>
                        <a:srgbClr val="FFFF00"/>
                      </a:solidFill>
                      <a:latin typeface="Century Gothic"/>
                    </a:rPr>
                    <a:pPr algn="ctr"/>
                    <a:t>5</a:t>
                  </a:fld>
                  <a:endParaRPr lang="es-CO" sz="4400" b="1">
                    <a:solidFill>
                      <a:srgbClr val="FFFF00"/>
                    </a:solidFill>
                  </a:endParaRPr>
                </a:p>
              </xdr:txBody>
            </xdr:sp>
            <xdr:sp macro="" textlink="">
              <xdr:nvSpPr>
                <xdr:cNvPr id="512" name="CuadroTexto 511">
                  <a:extLst>
                    <a:ext uri="{FF2B5EF4-FFF2-40B4-BE49-F238E27FC236}">
                      <a16:creationId xmlns:a16="http://schemas.microsoft.com/office/drawing/2014/main" id="{00000000-0008-0000-0A00-000000020000}"/>
                    </a:ext>
                  </a:extLst>
                </xdr:cNvPr>
                <xdr:cNvSpPr txBox="1"/>
              </xdr:nvSpPr>
              <xdr:spPr>
                <a:xfrm>
                  <a:off x="2474511" y="154686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68" name="Grupo 67">
              <a:extLst>
                <a:ext uri="{FF2B5EF4-FFF2-40B4-BE49-F238E27FC236}">
                  <a16:creationId xmlns:a16="http://schemas.microsoft.com/office/drawing/2014/main" id="{00000000-0008-0000-0A00-000044000000}"/>
                </a:ext>
              </a:extLst>
            </xdr:cNvPr>
            <xdr:cNvGrpSpPr/>
          </xdr:nvGrpSpPr>
          <xdr:grpSpPr>
            <a:xfrm>
              <a:off x="3181350" y="15005937"/>
              <a:ext cx="2160000" cy="760676"/>
              <a:chOff x="3181350" y="15005937"/>
              <a:chExt cx="2160000" cy="760676"/>
            </a:xfrm>
          </xdr:grpSpPr>
          <xdr:grpSp>
            <xdr:nvGrpSpPr>
              <xdr:cNvPr id="139" name="Grupo 138">
                <a:extLst>
                  <a:ext uri="{FF2B5EF4-FFF2-40B4-BE49-F238E27FC236}">
                    <a16:creationId xmlns:a16="http://schemas.microsoft.com/office/drawing/2014/main" id="{00000000-0008-0000-0A00-00008B000000}"/>
                  </a:ext>
                </a:extLst>
              </xdr:cNvPr>
              <xdr:cNvGrpSpPr/>
            </xdr:nvGrpSpPr>
            <xdr:grpSpPr>
              <a:xfrm>
                <a:off x="3181350" y="15005937"/>
                <a:ext cx="2160000" cy="726638"/>
                <a:chOff x="28351843" y="12458683"/>
                <a:chExt cx="2160000" cy="726638"/>
              </a:xfrm>
            </xdr:grpSpPr>
            <xdr:sp macro="" textlink="">
              <xdr:nvSpPr>
                <xdr:cNvPr id="140" name="Cheurón 139">
                  <a:extLst>
                    <a:ext uri="{FF2B5EF4-FFF2-40B4-BE49-F238E27FC236}">
                      <a16:creationId xmlns:a16="http://schemas.microsoft.com/office/drawing/2014/main" id="{00000000-0008-0000-0A00-00008C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41" name="CuadroTexto 140">
                  <a:extLst>
                    <a:ext uri="{FF2B5EF4-FFF2-40B4-BE49-F238E27FC236}">
                      <a16:creationId xmlns:a16="http://schemas.microsoft.com/office/drawing/2014/main" id="{00000000-0008-0000-0A00-00008D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M$21">
              <xdr:nvSpPr>
                <xdr:cNvPr id="142" name="Rectángulo redondeado 141">
                  <a:extLst>
                    <a:ext uri="{FF2B5EF4-FFF2-40B4-BE49-F238E27FC236}">
                      <a16:creationId xmlns:a16="http://schemas.microsoft.com/office/drawing/2014/main" id="{00000000-0008-0000-0A00-00008E000000}"/>
                    </a:ext>
                  </a:extLst>
                </xdr:cNvPr>
                <xdr:cNvSpPr/>
              </xdr:nvSpPr>
              <xdr:spPr>
                <a:xfrm>
                  <a:off x="29557264"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DC79ED9-21C8-498C-A82F-97D43F395171}" type="TxLink">
                    <a:rPr lang="en-US" sz="1600" b="1" i="0" u="none" strike="noStrike">
                      <a:solidFill>
                        <a:srgbClr val="FFFF00"/>
                      </a:solidFill>
                      <a:latin typeface="Century Gothic"/>
                    </a:rPr>
                    <a:pPr algn="ctr"/>
                    <a:t>22,2%</a:t>
                  </a:fld>
                  <a:endParaRPr lang="es-CO" sz="2800">
                    <a:solidFill>
                      <a:srgbClr val="FFFF00"/>
                    </a:solidFill>
                  </a:endParaRPr>
                </a:p>
              </xdr:txBody>
            </xdr:sp>
          </xdr:grpSp>
          <xdr:grpSp>
            <xdr:nvGrpSpPr>
              <xdr:cNvPr id="66" name="Grupo 65">
                <a:extLst>
                  <a:ext uri="{FF2B5EF4-FFF2-40B4-BE49-F238E27FC236}">
                    <a16:creationId xmlns:a16="http://schemas.microsoft.com/office/drawing/2014/main" id="{00000000-0008-0000-0A00-000042000000}"/>
                  </a:ext>
                </a:extLst>
              </xdr:cNvPr>
              <xdr:cNvGrpSpPr/>
            </xdr:nvGrpSpPr>
            <xdr:grpSpPr>
              <a:xfrm>
                <a:off x="4435171" y="15473755"/>
                <a:ext cx="770852" cy="292858"/>
                <a:chOff x="4435171" y="15473755"/>
                <a:chExt cx="770852" cy="292858"/>
              </a:xfrm>
            </xdr:grpSpPr>
            <xdr:sp macro="" textlink="$L$21">
              <xdr:nvSpPr>
                <xdr:cNvPr id="340" name="Rectángulo 339">
                  <a:extLst>
                    <a:ext uri="{FF2B5EF4-FFF2-40B4-BE49-F238E27FC236}">
                      <a16:creationId xmlns:a16="http://schemas.microsoft.com/office/drawing/2014/main" id="{00000000-0008-0000-0A00-000054010000}"/>
                    </a:ext>
                  </a:extLst>
                </xdr:cNvPr>
                <xdr:cNvSpPr/>
              </xdr:nvSpPr>
              <xdr:spPr>
                <a:xfrm>
                  <a:off x="4465868" y="1549447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F91F8C-D466-485E-AAA4-2C228A81F484}"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1">
              <xdr:nvSpPr>
                <xdr:cNvPr id="341" name="Rectángulo 340">
                  <a:extLst>
                    <a:ext uri="{FF2B5EF4-FFF2-40B4-BE49-F238E27FC236}">
                      <a16:creationId xmlns:a16="http://schemas.microsoft.com/office/drawing/2014/main" id="{00000000-0008-0000-0A00-000055010000}"/>
                    </a:ext>
                  </a:extLst>
                </xdr:cNvPr>
                <xdr:cNvSpPr/>
              </xdr:nvSpPr>
              <xdr:spPr>
                <a:xfrm>
                  <a:off x="4728356" y="1549447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DEDAC5-71CE-4B1F-959E-A434CDEE9909}" type="TxLink">
                    <a:rPr lang="en-US" sz="1100" b="1" i="0" u="none" strike="noStrike">
                      <a:solidFill>
                        <a:srgbClr val="FFFF00"/>
                      </a:solidFill>
                      <a:latin typeface="Century Gothic"/>
                    </a:rPr>
                    <a:pPr algn="ctr"/>
                    <a:t>18</a:t>
                  </a:fld>
                  <a:endParaRPr lang="es-CO" sz="4400" b="1">
                    <a:solidFill>
                      <a:srgbClr val="FFFF00"/>
                    </a:solidFill>
                  </a:endParaRPr>
                </a:p>
              </xdr:txBody>
            </xdr:sp>
            <xdr:sp macro="" textlink="">
              <xdr:nvSpPr>
                <xdr:cNvPr id="513" name="CuadroTexto 512">
                  <a:extLst>
                    <a:ext uri="{FF2B5EF4-FFF2-40B4-BE49-F238E27FC236}">
                      <a16:creationId xmlns:a16="http://schemas.microsoft.com/office/drawing/2014/main" id="{00000000-0008-0000-0A00-000001020000}"/>
                    </a:ext>
                  </a:extLst>
                </xdr:cNvPr>
                <xdr:cNvSpPr txBox="1"/>
              </xdr:nvSpPr>
              <xdr:spPr>
                <a:xfrm>
                  <a:off x="4435171" y="154737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70" name="Grupo 69">
              <a:extLst>
                <a:ext uri="{FF2B5EF4-FFF2-40B4-BE49-F238E27FC236}">
                  <a16:creationId xmlns:a16="http://schemas.microsoft.com/office/drawing/2014/main" id="{00000000-0008-0000-0A00-000046000000}"/>
                </a:ext>
              </a:extLst>
            </xdr:cNvPr>
            <xdr:cNvGrpSpPr/>
          </xdr:nvGrpSpPr>
          <xdr:grpSpPr>
            <a:xfrm>
              <a:off x="5143494" y="15008660"/>
              <a:ext cx="2195849" cy="760676"/>
              <a:chOff x="5143494" y="15008660"/>
              <a:chExt cx="2195849" cy="760676"/>
            </a:xfrm>
          </xdr:grpSpPr>
          <xdr:grpSp>
            <xdr:nvGrpSpPr>
              <xdr:cNvPr id="143" name="Grupo 142">
                <a:extLst>
                  <a:ext uri="{FF2B5EF4-FFF2-40B4-BE49-F238E27FC236}">
                    <a16:creationId xmlns:a16="http://schemas.microsoft.com/office/drawing/2014/main" id="{00000000-0008-0000-0A00-00008F000000}"/>
                  </a:ext>
                </a:extLst>
              </xdr:cNvPr>
              <xdr:cNvGrpSpPr/>
            </xdr:nvGrpSpPr>
            <xdr:grpSpPr>
              <a:xfrm>
                <a:off x="5143494" y="15008660"/>
                <a:ext cx="2195849" cy="726638"/>
                <a:chOff x="28351843" y="12458683"/>
                <a:chExt cx="2195849" cy="726638"/>
              </a:xfrm>
            </xdr:grpSpPr>
            <xdr:sp macro="" textlink="">
              <xdr:nvSpPr>
                <xdr:cNvPr id="144" name="Cheurón 143">
                  <a:extLst>
                    <a:ext uri="{FF2B5EF4-FFF2-40B4-BE49-F238E27FC236}">
                      <a16:creationId xmlns:a16="http://schemas.microsoft.com/office/drawing/2014/main" id="{00000000-0008-0000-0A00-000090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45" name="CuadroTexto 144">
                  <a:extLst>
                    <a:ext uri="{FF2B5EF4-FFF2-40B4-BE49-F238E27FC236}">
                      <a16:creationId xmlns:a16="http://schemas.microsoft.com/office/drawing/2014/main" id="{00000000-0008-0000-0A00-000091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M$22">
              <xdr:nvSpPr>
                <xdr:cNvPr id="146" name="Rectángulo redondeado 145">
                  <a:extLst>
                    <a:ext uri="{FF2B5EF4-FFF2-40B4-BE49-F238E27FC236}">
                      <a16:creationId xmlns:a16="http://schemas.microsoft.com/office/drawing/2014/main" id="{00000000-0008-0000-0A00-000092000000}"/>
                    </a:ext>
                  </a:extLst>
                </xdr:cNvPr>
                <xdr:cNvSpPr/>
              </xdr:nvSpPr>
              <xdr:spPr>
                <a:xfrm>
                  <a:off x="29611692"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409F841-DDAC-4C2A-9E8A-BD2C3A4657E2}" type="TxLink">
                    <a:rPr lang="en-US" sz="1600" b="1" i="0" u="none" strike="noStrike">
                      <a:solidFill>
                        <a:srgbClr val="FFFF00"/>
                      </a:solidFill>
                      <a:latin typeface="Century Gothic"/>
                    </a:rPr>
                    <a:pPr algn="ctr"/>
                    <a:t>40,0%</a:t>
                  </a:fld>
                  <a:endParaRPr lang="es-CO" sz="3600">
                    <a:solidFill>
                      <a:srgbClr val="FFFF00"/>
                    </a:solidFill>
                  </a:endParaRPr>
                </a:p>
              </xdr:txBody>
            </xdr:sp>
          </xdr:grpSp>
          <xdr:grpSp>
            <xdr:nvGrpSpPr>
              <xdr:cNvPr id="69" name="Grupo 68">
                <a:extLst>
                  <a:ext uri="{FF2B5EF4-FFF2-40B4-BE49-F238E27FC236}">
                    <a16:creationId xmlns:a16="http://schemas.microsoft.com/office/drawing/2014/main" id="{00000000-0008-0000-0A00-000045000000}"/>
                  </a:ext>
                </a:extLst>
              </xdr:cNvPr>
              <xdr:cNvGrpSpPr/>
            </xdr:nvGrpSpPr>
            <xdr:grpSpPr>
              <a:xfrm>
                <a:off x="6408208" y="15490762"/>
                <a:ext cx="770852" cy="278574"/>
                <a:chOff x="6435422" y="15490762"/>
                <a:chExt cx="770852" cy="278574"/>
              </a:xfrm>
            </xdr:grpSpPr>
            <xdr:sp macro="" textlink="$L$22">
              <xdr:nvSpPr>
                <xdr:cNvPr id="342" name="Rectángulo 341">
                  <a:extLst>
                    <a:ext uri="{FF2B5EF4-FFF2-40B4-BE49-F238E27FC236}">
                      <a16:creationId xmlns:a16="http://schemas.microsoft.com/office/drawing/2014/main" id="{00000000-0008-0000-0A00-000056010000}"/>
                    </a:ext>
                  </a:extLst>
                </xdr:cNvPr>
                <xdr:cNvSpPr/>
              </xdr:nvSpPr>
              <xdr:spPr>
                <a:xfrm>
                  <a:off x="6468837" y="1549719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7804FE1-8E3C-44E1-AE68-FA30E05894E7}"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22">
              <xdr:nvSpPr>
                <xdr:cNvPr id="343" name="Rectángulo 342">
                  <a:extLst>
                    <a:ext uri="{FF2B5EF4-FFF2-40B4-BE49-F238E27FC236}">
                      <a16:creationId xmlns:a16="http://schemas.microsoft.com/office/drawing/2014/main" id="{00000000-0008-0000-0A00-000057010000}"/>
                    </a:ext>
                  </a:extLst>
                </xdr:cNvPr>
                <xdr:cNvSpPr/>
              </xdr:nvSpPr>
              <xdr:spPr>
                <a:xfrm>
                  <a:off x="6744932" y="1549719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312D0E3-57BF-4878-A224-EFCDD0B2E595}" type="TxLink">
                    <a:rPr lang="en-US" sz="1100" b="1" i="0" u="none" strike="noStrike">
                      <a:solidFill>
                        <a:srgbClr val="FFFF00"/>
                      </a:solidFill>
                      <a:latin typeface="Century Gothic"/>
                    </a:rPr>
                    <a:pPr algn="ctr"/>
                    <a:t>5</a:t>
                  </a:fld>
                  <a:endParaRPr lang="es-CO" sz="4400" b="1">
                    <a:solidFill>
                      <a:srgbClr val="FFFF00"/>
                    </a:solidFill>
                  </a:endParaRPr>
                </a:p>
              </xdr:txBody>
            </xdr:sp>
            <xdr:sp macro="" textlink="">
              <xdr:nvSpPr>
                <xdr:cNvPr id="514" name="CuadroTexto 513">
                  <a:extLst>
                    <a:ext uri="{FF2B5EF4-FFF2-40B4-BE49-F238E27FC236}">
                      <a16:creationId xmlns:a16="http://schemas.microsoft.com/office/drawing/2014/main" id="{00000000-0008-0000-0A00-000002020000}"/>
                    </a:ext>
                  </a:extLst>
                </xdr:cNvPr>
                <xdr:cNvSpPr txBox="1"/>
              </xdr:nvSpPr>
              <xdr:spPr>
                <a:xfrm>
                  <a:off x="6435422" y="1549076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75" name="Grupo 74">
              <a:extLst>
                <a:ext uri="{FF2B5EF4-FFF2-40B4-BE49-F238E27FC236}">
                  <a16:creationId xmlns:a16="http://schemas.microsoft.com/office/drawing/2014/main" id="{00000000-0008-0000-0A00-00004B000000}"/>
                </a:ext>
              </a:extLst>
            </xdr:cNvPr>
            <xdr:cNvGrpSpPr/>
          </xdr:nvGrpSpPr>
          <xdr:grpSpPr>
            <a:xfrm>
              <a:off x="7105645" y="15011383"/>
              <a:ext cx="2160000" cy="747069"/>
              <a:chOff x="7105645" y="15011383"/>
              <a:chExt cx="2160000" cy="747069"/>
            </a:xfrm>
          </xdr:grpSpPr>
          <xdr:grpSp>
            <xdr:nvGrpSpPr>
              <xdr:cNvPr id="147" name="Grupo 146">
                <a:extLst>
                  <a:ext uri="{FF2B5EF4-FFF2-40B4-BE49-F238E27FC236}">
                    <a16:creationId xmlns:a16="http://schemas.microsoft.com/office/drawing/2014/main" id="{00000000-0008-0000-0A00-000093000000}"/>
                  </a:ext>
                </a:extLst>
              </xdr:cNvPr>
              <xdr:cNvGrpSpPr/>
            </xdr:nvGrpSpPr>
            <xdr:grpSpPr>
              <a:xfrm>
                <a:off x="7105645" y="15011383"/>
                <a:ext cx="2160000" cy="726638"/>
                <a:chOff x="28351843" y="12458683"/>
                <a:chExt cx="2160000" cy="726638"/>
              </a:xfrm>
            </xdr:grpSpPr>
            <xdr:sp macro="" textlink="">
              <xdr:nvSpPr>
                <xdr:cNvPr id="148" name="Cheurón 147">
                  <a:extLst>
                    <a:ext uri="{FF2B5EF4-FFF2-40B4-BE49-F238E27FC236}">
                      <a16:creationId xmlns:a16="http://schemas.microsoft.com/office/drawing/2014/main" id="{00000000-0008-0000-0A00-000094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49" name="CuadroTexto 148">
                  <a:extLst>
                    <a:ext uri="{FF2B5EF4-FFF2-40B4-BE49-F238E27FC236}">
                      <a16:creationId xmlns:a16="http://schemas.microsoft.com/office/drawing/2014/main" id="{00000000-0008-0000-0A00-000095000000}"/>
                    </a:ext>
                  </a:extLst>
                </xdr:cNvPr>
                <xdr:cNvSpPr txBox="1"/>
              </xdr:nvSpPr>
              <xdr:spPr>
                <a:xfrm>
                  <a:off x="284966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M$23">
              <xdr:nvSpPr>
                <xdr:cNvPr id="150" name="Rectángulo redondeado 149">
                  <a:extLst>
                    <a:ext uri="{FF2B5EF4-FFF2-40B4-BE49-F238E27FC236}">
                      <a16:creationId xmlns:a16="http://schemas.microsoft.com/office/drawing/2014/main" id="{00000000-0008-0000-0A00-000096000000}"/>
                    </a:ext>
                  </a:extLst>
                </xdr:cNvPr>
                <xdr:cNvSpPr/>
              </xdr:nvSpPr>
              <xdr:spPr>
                <a:xfrm>
                  <a:off x="29570871"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697ABF5-F1C2-4F4D-89EA-8D4544611577}" type="TxLink">
                    <a:rPr lang="en-US" sz="1600" b="1" i="0" u="none" strike="noStrike">
                      <a:solidFill>
                        <a:srgbClr val="FFFF00"/>
                      </a:solidFill>
                      <a:latin typeface="Century Gothic"/>
                    </a:rPr>
                    <a:pPr algn="ctr"/>
                    <a:t>33,3%</a:t>
                  </a:fld>
                  <a:endParaRPr lang="es-CO" sz="4400">
                    <a:solidFill>
                      <a:srgbClr val="FFFF00"/>
                    </a:solidFill>
                  </a:endParaRPr>
                </a:p>
              </xdr:txBody>
            </xdr:sp>
          </xdr:grpSp>
          <xdr:grpSp>
            <xdr:nvGrpSpPr>
              <xdr:cNvPr id="71" name="Grupo 70">
                <a:extLst>
                  <a:ext uri="{FF2B5EF4-FFF2-40B4-BE49-F238E27FC236}">
                    <a16:creationId xmlns:a16="http://schemas.microsoft.com/office/drawing/2014/main" id="{00000000-0008-0000-0A00-000047000000}"/>
                  </a:ext>
                </a:extLst>
              </xdr:cNvPr>
              <xdr:cNvGrpSpPr/>
            </xdr:nvGrpSpPr>
            <xdr:grpSpPr>
              <a:xfrm>
                <a:off x="8331760" y="15473756"/>
                <a:ext cx="770852" cy="284696"/>
                <a:chOff x="8331760" y="15473756"/>
                <a:chExt cx="770852" cy="284696"/>
              </a:xfrm>
            </xdr:grpSpPr>
            <xdr:sp macro="" textlink="$L$23">
              <xdr:nvSpPr>
                <xdr:cNvPr id="344" name="Rectángulo 343">
                  <a:extLst>
                    <a:ext uri="{FF2B5EF4-FFF2-40B4-BE49-F238E27FC236}">
                      <a16:creationId xmlns:a16="http://schemas.microsoft.com/office/drawing/2014/main" id="{00000000-0008-0000-0A00-000058010000}"/>
                    </a:ext>
                  </a:extLst>
                </xdr:cNvPr>
                <xdr:cNvSpPr/>
              </xdr:nvSpPr>
              <xdr:spPr>
                <a:xfrm>
                  <a:off x="8362953" y="154863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21B05C-139C-477C-86F6-AAC766EC8DC4}" type="TxLink">
                    <a:rPr lang="en-US" sz="1100" b="1" i="0" u="none" strike="noStrike">
                      <a:solidFill>
                        <a:srgbClr val="FFFF00"/>
                      </a:solidFill>
                      <a:latin typeface="Century Gothic"/>
                    </a:rPr>
                    <a:pPr algn="ctr"/>
                    <a:t>4</a:t>
                  </a:fld>
                  <a:endParaRPr lang="es-CO" sz="4400" b="1">
                    <a:solidFill>
                      <a:srgbClr val="FFFF00"/>
                    </a:solidFill>
                  </a:endParaRPr>
                </a:p>
              </xdr:txBody>
            </xdr:sp>
            <xdr:sp macro="" textlink="$J$23">
              <xdr:nvSpPr>
                <xdr:cNvPr id="345" name="Rectángulo 344">
                  <a:extLst>
                    <a:ext uri="{FF2B5EF4-FFF2-40B4-BE49-F238E27FC236}">
                      <a16:creationId xmlns:a16="http://schemas.microsoft.com/office/drawing/2014/main" id="{00000000-0008-0000-0A00-000059010000}"/>
                    </a:ext>
                  </a:extLst>
                </xdr:cNvPr>
                <xdr:cNvSpPr/>
              </xdr:nvSpPr>
              <xdr:spPr>
                <a:xfrm>
                  <a:off x="8625440" y="154863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AE97232-4C1C-4466-B666-258B123901D3}" type="TxLink">
                    <a:rPr lang="en-US" sz="1100" b="1" i="0" u="none" strike="noStrike">
                      <a:solidFill>
                        <a:srgbClr val="FFFF00"/>
                      </a:solidFill>
                      <a:latin typeface="Century Gothic"/>
                    </a:rPr>
                    <a:pPr algn="ctr"/>
                    <a:t>12</a:t>
                  </a:fld>
                  <a:endParaRPr lang="es-CO" sz="4400" b="1">
                    <a:solidFill>
                      <a:srgbClr val="FFFF00"/>
                    </a:solidFill>
                  </a:endParaRPr>
                </a:p>
              </xdr:txBody>
            </xdr:sp>
            <xdr:sp macro="" textlink="">
              <xdr:nvSpPr>
                <xdr:cNvPr id="515" name="CuadroTexto 514">
                  <a:extLst>
                    <a:ext uri="{FF2B5EF4-FFF2-40B4-BE49-F238E27FC236}">
                      <a16:creationId xmlns:a16="http://schemas.microsoft.com/office/drawing/2014/main" id="{00000000-0008-0000-0A00-000003020000}"/>
                    </a:ext>
                  </a:extLst>
                </xdr:cNvPr>
                <xdr:cNvSpPr txBox="1"/>
              </xdr:nvSpPr>
              <xdr:spPr>
                <a:xfrm>
                  <a:off x="8331760" y="1547375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77" name="Grupo 76">
              <a:extLst>
                <a:ext uri="{FF2B5EF4-FFF2-40B4-BE49-F238E27FC236}">
                  <a16:creationId xmlns:a16="http://schemas.microsoft.com/office/drawing/2014/main" id="{00000000-0008-0000-0A00-00004D000000}"/>
                </a:ext>
              </a:extLst>
            </xdr:cNvPr>
            <xdr:cNvGrpSpPr/>
          </xdr:nvGrpSpPr>
          <xdr:grpSpPr>
            <a:xfrm>
              <a:off x="9067795" y="15014106"/>
              <a:ext cx="2160000" cy="747069"/>
              <a:chOff x="9067795" y="15014106"/>
              <a:chExt cx="2160000" cy="747069"/>
            </a:xfrm>
          </xdr:grpSpPr>
          <xdr:grpSp>
            <xdr:nvGrpSpPr>
              <xdr:cNvPr id="151" name="Grupo 150">
                <a:extLst>
                  <a:ext uri="{FF2B5EF4-FFF2-40B4-BE49-F238E27FC236}">
                    <a16:creationId xmlns:a16="http://schemas.microsoft.com/office/drawing/2014/main" id="{00000000-0008-0000-0A00-000097000000}"/>
                  </a:ext>
                </a:extLst>
              </xdr:cNvPr>
              <xdr:cNvGrpSpPr/>
            </xdr:nvGrpSpPr>
            <xdr:grpSpPr>
              <a:xfrm>
                <a:off x="9067795" y="15014106"/>
                <a:ext cx="2160000" cy="726638"/>
                <a:chOff x="28351843" y="12458683"/>
                <a:chExt cx="2160000" cy="726638"/>
              </a:xfrm>
            </xdr:grpSpPr>
            <xdr:sp macro="" textlink="">
              <xdr:nvSpPr>
                <xdr:cNvPr id="152" name="Cheurón 151">
                  <a:extLst>
                    <a:ext uri="{FF2B5EF4-FFF2-40B4-BE49-F238E27FC236}">
                      <a16:creationId xmlns:a16="http://schemas.microsoft.com/office/drawing/2014/main" id="{00000000-0008-0000-0A00-000098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53" name="CuadroTexto 152">
                  <a:extLst>
                    <a:ext uri="{FF2B5EF4-FFF2-40B4-BE49-F238E27FC236}">
                      <a16:creationId xmlns:a16="http://schemas.microsoft.com/office/drawing/2014/main" id="{00000000-0008-0000-0A00-000099000000}"/>
                    </a:ext>
                  </a:extLst>
                </xdr:cNvPr>
                <xdr:cNvSpPr txBox="1"/>
              </xdr:nvSpPr>
              <xdr:spPr>
                <a:xfrm>
                  <a:off x="284966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M$24">
              <xdr:nvSpPr>
                <xdr:cNvPr id="154" name="Rectángulo redondeado 153">
                  <a:extLst>
                    <a:ext uri="{FF2B5EF4-FFF2-40B4-BE49-F238E27FC236}">
                      <a16:creationId xmlns:a16="http://schemas.microsoft.com/office/drawing/2014/main" id="{00000000-0008-0000-0A00-00009A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615119F-8672-470D-AE30-0F1041C53ACB}" type="TxLink">
                    <a:rPr lang="en-US" sz="1600" b="1" i="0" u="none" strike="noStrike">
                      <a:solidFill>
                        <a:srgbClr val="FFFF00"/>
                      </a:solidFill>
                      <a:latin typeface="Century Gothic"/>
                    </a:rPr>
                    <a:pPr algn="ctr"/>
                    <a:t>50,0%</a:t>
                  </a:fld>
                  <a:endParaRPr lang="es-CO" sz="5400">
                    <a:solidFill>
                      <a:srgbClr val="FFFF00"/>
                    </a:solidFill>
                  </a:endParaRPr>
                </a:p>
              </xdr:txBody>
            </xdr:sp>
          </xdr:grpSp>
          <xdr:grpSp>
            <xdr:nvGrpSpPr>
              <xdr:cNvPr id="76" name="Grupo 75">
                <a:extLst>
                  <a:ext uri="{FF2B5EF4-FFF2-40B4-BE49-F238E27FC236}">
                    <a16:creationId xmlns:a16="http://schemas.microsoft.com/office/drawing/2014/main" id="{00000000-0008-0000-0A00-00004C000000}"/>
                  </a:ext>
                </a:extLst>
              </xdr:cNvPr>
              <xdr:cNvGrpSpPr/>
            </xdr:nvGrpSpPr>
            <xdr:grpSpPr>
              <a:xfrm>
                <a:off x="10245421" y="15482258"/>
                <a:ext cx="770852" cy="278917"/>
                <a:chOff x="10245421" y="15482258"/>
                <a:chExt cx="770852" cy="278917"/>
              </a:xfrm>
            </xdr:grpSpPr>
            <xdr:sp macro="" textlink="$L$24">
              <xdr:nvSpPr>
                <xdr:cNvPr id="346" name="Rectángulo 345">
                  <a:extLst>
                    <a:ext uri="{FF2B5EF4-FFF2-40B4-BE49-F238E27FC236}">
                      <a16:creationId xmlns:a16="http://schemas.microsoft.com/office/drawing/2014/main" id="{00000000-0008-0000-0A00-00005A010000}"/>
                    </a:ext>
                  </a:extLst>
                </xdr:cNvPr>
                <xdr:cNvSpPr/>
              </xdr:nvSpPr>
              <xdr:spPr>
                <a:xfrm>
                  <a:off x="10284280" y="15489032"/>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FF1D27E-B8FD-4BC4-B67A-20685F3032C3}"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J$24">
              <xdr:nvSpPr>
                <xdr:cNvPr id="347" name="Rectángulo 346">
                  <a:extLst>
                    <a:ext uri="{FF2B5EF4-FFF2-40B4-BE49-F238E27FC236}">
                      <a16:creationId xmlns:a16="http://schemas.microsoft.com/office/drawing/2014/main" id="{00000000-0008-0000-0A00-00005B010000}"/>
                    </a:ext>
                  </a:extLst>
                </xdr:cNvPr>
                <xdr:cNvSpPr/>
              </xdr:nvSpPr>
              <xdr:spPr>
                <a:xfrm>
                  <a:off x="10560375" y="15489032"/>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15929E-6A33-4A50-9A72-E8AD16FDF034}"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
              <xdr:nvSpPr>
                <xdr:cNvPr id="516" name="CuadroTexto 515">
                  <a:extLst>
                    <a:ext uri="{FF2B5EF4-FFF2-40B4-BE49-F238E27FC236}">
                      <a16:creationId xmlns:a16="http://schemas.microsoft.com/office/drawing/2014/main" id="{00000000-0008-0000-0A00-000004020000}"/>
                    </a:ext>
                  </a:extLst>
                </xdr:cNvPr>
                <xdr:cNvSpPr txBox="1"/>
              </xdr:nvSpPr>
              <xdr:spPr>
                <a:xfrm>
                  <a:off x="10245421" y="1548225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79" name="Grupo 78">
              <a:extLst>
                <a:ext uri="{FF2B5EF4-FFF2-40B4-BE49-F238E27FC236}">
                  <a16:creationId xmlns:a16="http://schemas.microsoft.com/office/drawing/2014/main" id="{00000000-0008-0000-0A00-00004F000000}"/>
                </a:ext>
              </a:extLst>
            </xdr:cNvPr>
            <xdr:cNvGrpSpPr/>
          </xdr:nvGrpSpPr>
          <xdr:grpSpPr>
            <a:xfrm>
              <a:off x="3199901" y="15781544"/>
              <a:ext cx="2160000" cy="730739"/>
              <a:chOff x="3199901" y="15781544"/>
              <a:chExt cx="2160000" cy="730739"/>
            </a:xfrm>
          </xdr:grpSpPr>
          <xdr:grpSp>
            <xdr:nvGrpSpPr>
              <xdr:cNvPr id="155" name="Grupo 154">
                <a:extLst>
                  <a:ext uri="{FF2B5EF4-FFF2-40B4-BE49-F238E27FC236}">
                    <a16:creationId xmlns:a16="http://schemas.microsoft.com/office/drawing/2014/main" id="{00000000-0008-0000-0A00-00009B000000}"/>
                  </a:ext>
                </a:extLst>
              </xdr:cNvPr>
              <xdr:cNvGrpSpPr/>
            </xdr:nvGrpSpPr>
            <xdr:grpSpPr>
              <a:xfrm>
                <a:off x="3199901" y="15781544"/>
                <a:ext cx="2160000" cy="726638"/>
                <a:chOff x="28343182" y="12458683"/>
                <a:chExt cx="2160000" cy="726638"/>
              </a:xfrm>
            </xdr:grpSpPr>
            <xdr:sp macro="" textlink="">
              <xdr:nvSpPr>
                <xdr:cNvPr id="156" name="Cheurón 155">
                  <a:extLst>
                    <a:ext uri="{FF2B5EF4-FFF2-40B4-BE49-F238E27FC236}">
                      <a16:creationId xmlns:a16="http://schemas.microsoft.com/office/drawing/2014/main" id="{00000000-0008-0000-0A00-00009C000000}"/>
                    </a:ext>
                  </a:extLst>
                </xdr:cNvPr>
                <xdr:cNvSpPr/>
              </xdr:nvSpPr>
              <xdr:spPr>
                <a:xfrm>
                  <a:off x="28343182"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57" name="CuadroTexto 156">
                  <a:extLst>
                    <a:ext uri="{FF2B5EF4-FFF2-40B4-BE49-F238E27FC236}">
                      <a16:creationId xmlns:a16="http://schemas.microsoft.com/office/drawing/2014/main" id="{00000000-0008-0000-0A00-00009D000000}"/>
                    </a:ext>
                  </a:extLst>
                </xdr:cNvPr>
                <xdr:cNvSpPr txBox="1"/>
              </xdr:nvSpPr>
              <xdr:spPr>
                <a:xfrm>
                  <a:off x="2839771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M$25">
              <xdr:nvSpPr>
                <xdr:cNvPr id="158" name="Rectángulo redondeado 157">
                  <a:extLst>
                    <a:ext uri="{FF2B5EF4-FFF2-40B4-BE49-F238E27FC236}">
                      <a16:creationId xmlns:a16="http://schemas.microsoft.com/office/drawing/2014/main" id="{00000000-0008-0000-0A00-00009E000000}"/>
                    </a:ext>
                  </a:extLst>
                </xdr:cNvPr>
                <xdr:cNvSpPr/>
              </xdr:nvSpPr>
              <xdr:spPr>
                <a:xfrm>
                  <a:off x="29557264"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0C5DDD5-22CC-41A0-BCCA-EBFE14C727F2}" type="TxLink">
                    <a:rPr lang="en-US" sz="1600" b="1" i="0" u="none" strike="noStrike">
                      <a:solidFill>
                        <a:srgbClr val="FFFF00"/>
                      </a:solidFill>
                      <a:latin typeface="Century Gothic"/>
                    </a:rPr>
                    <a:pPr algn="ctr"/>
                    <a:t>0,0%</a:t>
                  </a:fld>
                  <a:endParaRPr lang="es-CO" sz="2800">
                    <a:solidFill>
                      <a:srgbClr val="FFFF00"/>
                    </a:solidFill>
                  </a:endParaRPr>
                </a:p>
              </xdr:txBody>
            </xdr:sp>
          </xdr:grpSp>
          <xdr:grpSp>
            <xdr:nvGrpSpPr>
              <xdr:cNvPr id="78" name="Grupo 77">
                <a:extLst>
                  <a:ext uri="{FF2B5EF4-FFF2-40B4-BE49-F238E27FC236}">
                    <a16:creationId xmlns:a16="http://schemas.microsoft.com/office/drawing/2014/main" id="{00000000-0008-0000-0A00-00004E000000}"/>
                  </a:ext>
                </a:extLst>
              </xdr:cNvPr>
              <xdr:cNvGrpSpPr/>
            </xdr:nvGrpSpPr>
            <xdr:grpSpPr>
              <a:xfrm>
                <a:off x="4461153" y="16239155"/>
                <a:ext cx="770852" cy="273128"/>
                <a:chOff x="4461153" y="16239155"/>
                <a:chExt cx="770852" cy="273128"/>
              </a:xfrm>
            </xdr:grpSpPr>
            <xdr:sp macro="" textlink="$L$25">
              <xdr:nvSpPr>
                <xdr:cNvPr id="348" name="Rectángulo 347">
                  <a:extLst>
                    <a:ext uri="{FF2B5EF4-FFF2-40B4-BE49-F238E27FC236}">
                      <a16:creationId xmlns:a16="http://schemas.microsoft.com/office/drawing/2014/main" id="{00000000-0008-0000-0A00-00005C010000}"/>
                    </a:ext>
                  </a:extLst>
                </xdr:cNvPr>
                <xdr:cNvSpPr/>
              </xdr:nvSpPr>
              <xdr:spPr>
                <a:xfrm>
                  <a:off x="4476756" y="16240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E0A3BA-DB3E-4FBD-B34B-F4BA4A57DE42}" type="TxLink">
                    <a:rPr lang="en-US" sz="1100" b="1" i="0" u="none" strike="noStrike">
                      <a:solidFill>
                        <a:srgbClr val="FFFF00"/>
                      </a:solidFill>
                      <a:latin typeface="Century Gothic"/>
                    </a:rPr>
                    <a:pPr algn="ctr"/>
                    <a:t>0</a:t>
                  </a:fld>
                  <a:endParaRPr lang="es-CO" sz="4400" b="1">
                    <a:solidFill>
                      <a:srgbClr val="FFFF00"/>
                    </a:solidFill>
                  </a:endParaRPr>
                </a:p>
              </xdr:txBody>
            </xdr:sp>
            <xdr:sp macro="" textlink="$J$25">
              <xdr:nvSpPr>
                <xdr:cNvPr id="349" name="Rectángulo 348">
                  <a:extLst>
                    <a:ext uri="{FF2B5EF4-FFF2-40B4-BE49-F238E27FC236}">
                      <a16:creationId xmlns:a16="http://schemas.microsoft.com/office/drawing/2014/main" id="{00000000-0008-0000-0A00-00005D010000}"/>
                    </a:ext>
                  </a:extLst>
                </xdr:cNvPr>
                <xdr:cNvSpPr/>
              </xdr:nvSpPr>
              <xdr:spPr>
                <a:xfrm>
                  <a:off x="4752850" y="1624014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9016435-3756-4AEE-98AD-B19C4987418C}" type="TxLink">
                    <a:rPr lang="en-US" sz="1100" b="1" i="0" u="none" strike="noStrike">
                      <a:solidFill>
                        <a:srgbClr val="FFFF00"/>
                      </a:solidFill>
                      <a:latin typeface="Century Gothic"/>
                    </a:rPr>
                    <a:pPr algn="ctr"/>
                    <a:t>1</a:t>
                  </a:fld>
                  <a:endParaRPr lang="es-CO" sz="4400" b="1">
                    <a:solidFill>
                      <a:srgbClr val="FFFF00"/>
                    </a:solidFill>
                  </a:endParaRPr>
                </a:p>
              </xdr:txBody>
            </xdr:sp>
            <xdr:sp macro="" textlink="">
              <xdr:nvSpPr>
                <xdr:cNvPr id="517" name="CuadroTexto 516">
                  <a:extLst>
                    <a:ext uri="{FF2B5EF4-FFF2-40B4-BE49-F238E27FC236}">
                      <a16:creationId xmlns:a16="http://schemas.microsoft.com/office/drawing/2014/main" id="{00000000-0008-0000-0A00-000005020000}"/>
                    </a:ext>
                  </a:extLst>
                </xdr:cNvPr>
                <xdr:cNvSpPr txBox="1"/>
              </xdr:nvSpPr>
              <xdr:spPr>
                <a:xfrm>
                  <a:off x="4461153" y="162391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81" name="Grupo 80">
              <a:extLst>
                <a:ext uri="{FF2B5EF4-FFF2-40B4-BE49-F238E27FC236}">
                  <a16:creationId xmlns:a16="http://schemas.microsoft.com/office/drawing/2014/main" id="{00000000-0008-0000-0A00-000051000000}"/>
                </a:ext>
              </a:extLst>
            </xdr:cNvPr>
            <xdr:cNvGrpSpPr/>
          </xdr:nvGrpSpPr>
          <xdr:grpSpPr>
            <a:xfrm>
              <a:off x="5157105" y="15784267"/>
              <a:ext cx="2160000" cy="730739"/>
              <a:chOff x="5157105" y="15784267"/>
              <a:chExt cx="2160000" cy="730739"/>
            </a:xfrm>
          </xdr:grpSpPr>
          <xdr:grpSp>
            <xdr:nvGrpSpPr>
              <xdr:cNvPr id="159" name="Grupo 158">
                <a:extLst>
                  <a:ext uri="{FF2B5EF4-FFF2-40B4-BE49-F238E27FC236}">
                    <a16:creationId xmlns:a16="http://schemas.microsoft.com/office/drawing/2014/main" id="{00000000-0008-0000-0A00-00009F000000}"/>
                  </a:ext>
                </a:extLst>
              </xdr:cNvPr>
              <xdr:cNvGrpSpPr/>
            </xdr:nvGrpSpPr>
            <xdr:grpSpPr>
              <a:xfrm>
                <a:off x="5157105" y="15784267"/>
                <a:ext cx="2160000" cy="726638"/>
                <a:chOff x="28351843" y="12458683"/>
                <a:chExt cx="2160000" cy="726638"/>
              </a:xfrm>
            </xdr:grpSpPr>
            <xdr:sp macro="" textlink="">
              <xdr:nvSpPr>
                <xdr:cNvPr id="160" name="Cheurón 159">
                  <a:extLst>
                    <a:ext uri="{FF2B5EF4-FFF2-40B4-BE49-F238E27FC236}">
                      <a16:creationId xmlns:a16="http://schemas.microsoft.com/office/drawing/2014/main" id="{00000000-0008-0000-0A00-0000A0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61" name="CuadroTexto 160">
                  <a:extLst>
                    <a:ext uri="{FF2B5EF4-FFF2-40B4-BE49-F238E27FC236}">
                      <a16:creationId xmlns:a16="http://schemas.microsoft.com/office/drawing/2014/main" id="{00000000-0008-0000-0A00-0000A1000000}"/>
                    </a:ext>
                  </a:extLst>
                </xdr:cNvPr>
                <xdr:cNvSpPr txBox="1"/>
              </xdr:nvSpPr>
              <xdr:spPr>
                <a:xfrm>
                  <a:off x="2843047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M$26">
              <xdr:nvSpPr>
                <xdr:cNvPr id="162" name="Rectángulo redondeado 161">
                  <a:extLst>
                    <a:ext uri="{FF2B5EF4-FFF2-40B4-BE49-F238E27FC236}">
                      <a16:creationId xmlns:a16="http://schemas.microsoft.com/office/drawing/2014/main" id="{00000000-0008-0000-0A00-0000A2000000}"/>
                    </a:ext>
                  </a:extLst>
                </xdr:cNvPr>
                <xdr:cNvSpPr/>
              </xdr:nvSpPr>
              <xdr:spPr>
                <a:xfrm>
                  <a:off x="29570871"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A319C44-54A7-4F46-BFBF-67CA14DE6742}" type="TxLink">
                    <a:rPr lang="en-US" sz="1600" b="1" i="0" u="none" strike="noStrike">
                      <a:solidFill>
                        <a:srgbClr val="FFFF00"/>
                      </a:solidFill>
                      <a:latin typeface="Century Gothic"/>
                    </a:rPr>
                    <a:pPr algn="ctr"/>
                    <a:t>100,0%</a:t>
                  </a:fld>
                  <a:endParaRPr lang="es-CO" sz="3600">
                    <a:solidFill>
                      <a:srgbClr val="FFFF00"/>
                    </a:solidFill>
                  </a:endParaRPr>
                </a:p>
              </xdr:txBody>
            </xdr:sp>
          </xdr:grpSp>
          <xdr:grpSp>
            <xdr:nvGrpSpPr>
              <xdr:cNvPr id="80" name="Grupo 79">
                <a:extLst>
                  <a:ext uri="{FF2B5EF4-FFF2-40B4-BE49-F238E27FC236}">
                    <a16:creationId xmlns:a16="http://schemas.microsoft.com/office/drawing/2014/main" id="{00000000-0008-0000-0A00-000050000000}"/>
                  </a:ext>
                </a:extLst>
              </xdr:cNvPr>
              <xdr:cNvGrpSpPr/>
            </xdr:nvGrpSpPr>
            <xdr:grpSpPr>
              <a:xfrm>
                <a:off x="6411921" y="16230653"/>
                <a:ext cx="770852" cy="284353"/>
                <a:chOff x="6411921" y="16230653"/>
                <a:chExt cx="770852" cy="284353"/>
              </a:xfrm>
            </xdr:grpSpPr>
            <xdr:sp macro="" textlink="$L$26">
              <xdr:nvSpPr>
                <xdr:cNvPr id="350" name="Rectángulo 349">
                  <a:extLst>
                    <a:ext uri="{FF2B5EF4-FFF2-40B4-BE49-F238E27FC236}">
                      <a16:creationId xmlns:a16="http://schemas.microsoft.com/office/drawing/2014/main" id="{00000000-0008-0000-0A00-00005E010000}"/>
                    </a:ext>
                  </a:extLst>
                </xdr:cNvPr>
                <xdr:cNvSpPr/>
              </xdr:nvSpPr>
              <xdr:spPr>
                <a:xfrm>
                  <a:off x="6438904" y="162428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74F7C77-AE27-48DB-8803-62D43C048588}"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J$26">
              <xdr:nvSpPr>
                <xdr:cNvPr id="351" name="Rectángulo 350">
                  <a:extLst>
                    <a:ext uri="{FF2B5EF4-FFF2-40B4-BE49-F238E27FC236}">
                      <a16:creationId xmlns:a16="http://schemas.microsoft.com/office/drawing/2014/main" id="{00000000-0008-0000-0A00-00005F010000}"/>
                    </a:ext>
                  </a:extLst>
                </xdr:cNvPr>
                <xdr:cNvSpPr/>
              </xdr:nvSpPr>
              <xdr:spPr>
                <a:xfrm>
                  <a:off x="6714998" y="162428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D4AEDB1-E2E0-4714-AAB2-679144A5A6BB}" type="TxLink">
                    <a:rPr lang="en-US" sz="1100" b="1" i="0" u="none" strike="noStrike">
                      <a:solidFill>
                        <a:srgbClr val="FFFF00"/>
                      </a:solidFill>
                      <a:latin typeface="Century Gothic"/>
                    </a:rPr>
                    <a:pPr algn="ctr"/>
                    <a:t>2</a:t>
                  </a:fld>
                  <a:endParaRPr lang="es-CO" sz="4400" b="1">
                    <a:solidFill>
                      <a:srgbClr val="FFFF00"/>
                    </a:solidFill>
                  </a:endParaRPr>
                </a:p>
              </xdr:txBody>
            </xdr:sp>
            <xdr:sp macro="" textlink="">
              <xdr:nvSpPr>
                <xdr:cNvPr id="518" name="CuadroTexto 517">
                  <a:extLst>
                    <a:ext uri="{FF2B5EF4-FFF2-40B4-BE49-F238E27FC236}">
                      <a16:creationId xmlns:a16="http://schemas.microsoft.com/office/drawing/2014/main" id="{00000000-0008-0000-0A00-000006020000}"/>
                    </a:ext>
                  </a:extLst>
                </xdr:cNvPr>
                <xdr:cNvSpPr txBox="1"/>
              </xdr:nvSpPr>
              <xdr:spPr>
                <a:xfrm>
                  <a:off x="6411921" y="162306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nvGrpSpPr>
            <xdr:cNvPr id="83" name="Grupo 82">
              <a:extLst>
                <a:ext uri="{FF2B5EF4-FFF2-40B4-BE49-F238E27FC236}">
                  <a16:creationId xmlns:a16="http://schemas.microsoft.com/office/drawing/2014/main" id="{00000000-0008-0000-0A00-000053000000}"/>
                </a:ext>
              </a:extLst>
            </xdr:cNvPr>
            <xdr:cNvGrpSpPr/>
          </xdr:nvGrpSpPr>
          <xdr:grpSpPr>
            <a:xfrm>
              <a:off x="7119249" y="15786990"/>
              <a:ext cx="2160000" cy="730739"/>
              <a:chOff x="7119249" y="15786990"/>
              <a:chExt cx="2160000" cy="730739"/>
            </a:xfrm>
          </xdr:grpSpPr>
          <xdr:grpSp>
            <xdr:nvGrpSpPr>
              <xdr:cNvPr id="163" name="Grupo 162">
                <a:extLst>
                  <a:ext uri="{FF2B5EF4-FFF2-40B4-BE49-F238E27FC236}">
                    <a16:creationId xmlns:a16="http://schemas.microsoft.com/office/drawing/2014/main" id="{00000000-0008-0000-0A00-0000A3000000}"/>
                  </a:ext>
                </a:extLst>
              </xdr:cNvPr>
              <xdr:cNvGrpSpPr/>
            </xdr:nvGrpSpPr>
            <xdr:grpSpPr>
              <a:xfrm>
                <a:off x="7119249" y="15786990"/>
                <a:ext cx="2160000" cy="726638"/>
                <a:chOff x="28351843" y="12458683"/>
                <a:chExt cx="2160000" cy="726638"/>
              </a:xfrm>
            </xdr:grpSpPr>
            <xdr:sp macro="" textlink="">
              <xdr:nvSpPr>
                <xdr:cNvPr id="164" name="Cheurón 163">
                  <a:extLst>
                    <a:ext uri="{FF2B5EF4-FFF2-40B4-BE49-F238E27FC236}">
                      <a16:creationId xmlns:a16="http://schemas.microsoft.com/office/drawing/2014/main" id="{00000000-0008-0000-0A00-0000A4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65" name="CuadroTexto 164">
                  <a:extLst>
                    <a:ext uri="{FF2B5EF4-FFF2-40B4-BE49-F238E27FC236}">
                      <a16:creationId xmlns:a16="http://schemas.microsoft.com/office/drawing/2014/main" id="{00000000-0008-0000-0A00-0000A5000000}"/>
                    </a:ext>
                  </a:extLst>
                </xdr:cNvPr>
                <xdr:cNvSpPr txBox="1"/>
              </xdr:nvSpPr>
              <xdr:spPr>
                <a:xfrm>
                  <a:off x="28428643"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M$27">
              <xdr:nvSpPr>
                <xdr:cNvPr id="166" name="Rectángulo redondeado 165">
                  <a:extLst>
                    <a:ext uri="{FF2B5EF4-FFF2-40B4-BE49-F238E27FC236}">
                      <a16:creationId xmlns:a16="http://schemas.microsoft.com/office/drawing/2014/main" id="{00000000-0008-0000-0A00-0000A6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B438CE-1806-4C4D-A5DD-FACE1A9D095E}" type="TxLink">
                    <a:rPr lang="en-US" sz="1600" b="1" i="0" u="none" strike="noStrike">
                      <a:solidFill>
                        <a:srgbClr val="FFFF00"/>
                      </a:solidFill>
                      <a:latin typeface="Century Gothic"/>
                    </a:rPr>
                    <a:pPr algn="ctr"/>
                    <a:t>-</a:t>
                  </a:fld>
                  <a:endParaRPr lang="es-CO" sz="4400">
                    <a:solidFill>
                      <a:srgbClr val="FFFF00"/>
                    </a:solidFill>
                  </a:endParaRPr>
                </a:p>
              </xdr:txBody>
            </xdr:sp>
          </xdr:grpSp>
          <xdr:grpSp>
            <xdr:nvGrpSpPr>
              <xdr:cNvPr id="82" name="Grupo 81">
                <a:extLst>
                  <a:ext uri="{FF2B5EF4-FFF2-40B4-BE49-F238E27FC236}">
                    <a16:creationId xmlns:a16="http://schemas.microsoft.com/office/drawing/2014/main" id="{00000000-0008-0000-0A00-000052000000}"/>
                  </a:ext>
                </a:extLst>
              </xdr:cNvPr>
              <xdr:cNvGrpSpPr/>
            </xdr:nvGrpSpPr>
            <xdr:grpSpPr>
              <a:xfrm>
                <a:off x="8389904" y="16239154"/>
                <a:ext cx="770852" cy="278575"/>
                <a:chOff x="8457939" y="16239154"/>
                <a:chExt cx="770852" cy="278575"/>
              </a:xfrm>
            </xdr:grpSpPr>
            <xdr:sp macro="" textlink="$L$27">
              <xdr:nvSpPr>
                <xdr:cNvPr id="470" name="Rectángulo 469">
                  <a:extLst>
                    <a:ext uri="{FF2B5EF4-FFF2-40B4-BE49-F238E27FC236}">
                      <a16:creationId xmlns:a16="http://schemas.microsoft.com/office/drawing/2014/main" id="{00000000-0008-0000-0A00-0000D6010000}"/>
                    </a:ext>
                  </a:extLst>
                </xdr:cNvPr>
                <xdr:cNvSpPr/>
              </xdr:nvSpPr>
              <xdr:spPr>
                <a:xfrm>
                  <a:off x="8482695" y="1624558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92D6DE-30DB-4FCA-B331-013BAE61C8D3}" type="TxLink">
                    <a:rPr lang="en-US" sz="1100" b="1" i="0" u="none" strike="noStrike">
                      <a:solidFill>
                        <a:srgbClr val="FFFF00"/>
                      </a:solidFill>
                      <a:latin typeface="Century Gothic"/>
                    </a:rPr>
                    <a:pPr algn="ctr"/>
                    <a:t>-</a:t>
                  </a:fld>
                  <a:endParaRPr lang="es-CO" sz="4400" b="1">
                    <a:solidFill>
                      <a:srgbClr val="FFFF00"/>
                    </a:solidFill>
                  </a:endParaRPr>
                </a:p>
              </xdr:txBody>
            </xdr:sp>
            <xdr:sp macro="" textlink="$J$27">
              <xdr:nvSpPr>
                <xdr:cNvPr id="471" name="Rectángulo 470">
                  <a:extLst>
                    <a:ext uri="{FF2B5EF4-FFF2-40B4-BE49-F238E27FC236}">
                      <a16:creationId xmlns:a16="http://schemas.microsoft.com/office/drawing/2014/main" id="{00000000-0008-0000-0A00-0000D7010000}"/>
                    </a:ext>
                  </a:extLst>
                </xdr:cNvPr>
                <xdr:cNvSpPr/>
              </xdr:nvSpPr>
              <xdr:spPr>
                <a:xfrm>
                  <a:off x="8758790" y="1624558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9433F7E-8FEF-4F4E-B759-A03E967583E2}" type="TxLink">
                    <a:rPr lang="en-US" sz="1100" b="1" i="0" u="none" strike="noStrike">
                      <a:solidFill>
                        <a:srgbClr val="FFFF00"/>
                      </a:solidFill>
                      <a:latin typeface="Century Gothic"/>
                    </a:rPr>
                    <a:pPr algn="ctr"/>
                    <a:t>0</a:t>
                  </a:fld>
                  <a:endParaRPr lang="es-CO" sz="4400" b="1">
                    <a:solidFill>
                      <a:srgbClr val="FFFF00"/>
                    </a:solidFill>
                  </a:endParaRPr>
                </a:p>
              </xdr:txBody>
            </xdr:sp>
            <xdr:sp macro="" textlink="">
              <xdr:nvSpPr>
                <xdr:cNvPr id="519" name="CuadroTexto 518">
                  <a:extLst>
                    <a:ext uri="{FF2B5EF4-FFF2-40B4-BE49-F238E27FC236}">
                      <a16:creationId xmlns:a16="http://schemas.microsoft.com/office/drawing/2014/main" id="{00000000-0008-0000-0A00-000007020000}"/>
                    </a:ext>
                  </a:extLst>
                </xdr:cNvPr>
                <xdr:cNvSpPr txBox="1"/>
              </xdr:nvSpPr>
              <xdr:spPr>
                <a:xfrm>
                  <a:off x="8457939" y="162391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FF00"/>
                      </a:solidFill>
                      <a:latin typeface="Century Gothic" panose="020B0502020202020204" pitchFamily="34" charset="0"/>
                    </a:rPr>
                    <a:t>(</a:t>
                  </a:r>
                  <a:r>
                    <a:rPr lang="es-CO" sz="1100" baseline="0">
                      <a:solidFill>
                        <a:srgbClr val="FFFF00"/>
                      </a:solidFill>
                      <a:latin typeface="Century Gothic" panose="020B0502020202020204" pitchFamily="34" charset="0"/>
                    </a:rPr>
                    <a:t>     /     </a:t>
                  </a:r>
                  <a:r>
                    <a:rPr lang="es-CO" sz="1100">
                      <a:solidFill>
                        <a:srgbClr val="FFFF00"/>
                      </a:solidFill>
                      <a:latin typeface="Century Gothic" panose="020B0502020202020204" pitchFamily="34" charset="0"/>
                    </a:rPr>
                    <a:t>)</a:t>
                  </a:r>
                </a:p>
              </xdr:txBody>
            </xdr:sp>
          </xdr:grpSp>
        </xdr:grpSp>
      </xdr:grpSp>
      <xdr:grpSp>
        <xdr:nvGrpSpPr>
          <xdr:cNvPr id="669" name="Grupo 668">
            <a:extLst>
              <a:ext uri="{FF2B5EF4-FFF2-40B4-BE49-F238E27FC236}">
                <a16:creationId xmlns:a16="http://schemas.microsoft.com/office/drawing/2014/main" id="{00000000-0008-0000-0A00-00009D020000}"/>
              </a:ext>
            </a:extLst>
          </xdr:cNvPr>
          <xdr:cNvGrpSpPr/>
        </xdr:nvGrpSpPr>
        <xdr:grpSpPr>
          <a:xfrm>
            <a:off x="376735" y="16757552"/>
            <a:ext cx="6959058" cy="1639730"/>
            <a:chOff x="376735" y="16757552"/>
            <a:chExt cx="6959058" cy="1639730"/>
          </a:xfrm>
        </xdr:grpSpPr>
        <xdr:grpSp>
          <xdr:nvGrpSpPr>
            <xdr:cNvPr id="169" name="Grupo 168">
              <a:extLst>
                <a:ext uri="{FF2B5EF4-FFF2-40B4-BE49-F238E27FC236}">
                  <a16:creationId xmlns:a16="http://schemas.microsoft.com/office/drawing/2014/main" id="{00000000-0008-0000-0A00-0000A9000000}"/>
                </a:ext>
              </a:extLst>
            </xdr:cNvPr>
            <xdr:cNvGrpSpPr/>
          </xdr:nvGrpSpPr>
          <xdr:grpSpPr>
            <a:xfrm>
              <a:off x="376735" y="16757552"/>
              <a:ext cx="719839" cy="1639730"/>
              <a:chOff x="27391177" y="8406495"/>
              <a:chExt cx="720001" cy="1610348"/>
            </a:xfrm>
          </xdr:grpSpPr>
          <xdr:sp macro="" textlink="">
            <xdr:nvSpPr>
              <xdr:cNvPr id="170" name="Rectángulo 169">
                <a:extLst>
                  <a:ext uri="{FF2B5EF4-FFF2-40B4-BE49-F238E27FC236}">
                    <a16:creationId xmlns:a16="http://schemas.microsoft.com/office/drawing/2014/main" id="{00000000-0008-0000-0A00-0000AA000000}"/>
                  </a:ext>
                </a:extLst>
              </xdr:cNvPr>
              <xdr:cNvSpPr/>
            </xdr:nvSpPr>
            <xdr:spPr>
              <a:xfrm>
                <a:off x="27391177" y="8504462"/>
                <a:ext cx="720001"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71" name="CuadroTexto 170">
                <a:extLst>
                  <a:ext uri="{FF2B5EF4-FFF2-40B4-BE49-F238E27FC236}">
                    <a16:creationId xmlns:a16="http://schemas.microsoft.com/office/drawing/2014/main" id="{00000000-0008-0000-0A00-0000AB000000}"/>
                  </a:ext>
                </a:extLst>
              </xdr:cNvPr>
              <xdr:cNvSpPr txBox="1"/>
            </xdr:nvSpPr>
            <xdr:spPr>
              <a:xfrm rot="16200000">
                <a:off x="26944306"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123" name="Flecha abajo 122">
              <a:extLst>
                <a:ext uri="{FF2B5EF4-FFF2-40B4-BE49-F238E27FC236}">
                  <a16:creationId xmlns:a16="http://schemas.microsoft.com/office/drawing/2014/main" id="{00000000-0008-0000-0A00-00007B000000}"/>
                </a:ext>
              </a:extLst>
            </xdr:cNvPr>
            <xdr:cNvSpPr/>
          </xdr:nvSpPr>
          <xdr:spPr>
            <a:xfrm rot="10800000">
              <a:off x="5788509" y="16877184"/>
              <a:ext cx="467895" cy="293255"/>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5" name="Grupo 84">
              <a:extLst>
                <a:ext uri="{FF2B5EF4-FFF2-40B4-BE49-F238E27FC236}">
                  <a16:creationId xmlns:a16="http://schemas.microsoft.com/office/drawing/2014/main" id="{00000000-0008-0000-0A00-000055000000}"/>
                </a:ext>
              </a:extLst>
            </xdr:cNvPr>
            <xdr:cNvGrpSpPr/>
          </xdr:nvGrpSpPr>
          <xdr:grpSpPr>
            <a:xfrm>
              <a:off x="5176276" y="17297903"/>
              <a:ext cx="2159517" cy="733137"/>
              <a:chOff x="5176151" y="17068783"/>
              <a:chExt cx="2160000" cy="720000"/>
            </a:xfrm>
          </xdr:grpSpPr>
          <xdr:grpSp>
            <xdr:nvGrpSpPr>
              <xdr:cNvPr id="172" name="Grupo 171">
                <a:extLst>
                  <a:ext uri="{FF2B5EF4-FFF2-40B4-BE49-F238E27FC236}">
                    <a16:creationId xmlns:a16="http://schemas.microsoft.com/office/drawing/2014/main" id="{00000000-0008-0000-0A00-0000AC000000}"/>
                  </a:ext>
                </a:extLst>
              </xdr:cNvPr>
              <xdr:cNvGrpSpPr/>
            </xdr:nvGrpSpPr>
            <xdr:grpSpPr>
              <a:xfrm>
                <a:off x="5176151" y="17068783"/>
                <a:ext cx="2160000" cy="720000"/>
                <a:chOff x="28351843" y="12458683"/>
                <a:chExt cx="2160000" cy="720000"/>
              </a:xfrm>
            </xdr:grpSpPr>
            <xdr:sp macro="" textlink="">
              <xdr:nvSpPr>
                <xdr:cNvPr id="173" name="Cheurón 172">
                  <a:extLst>
                    <a:ext uri="{FF2B5EF4-FFF2-40B4-BE49-F238E27FC236}">
                      <a16:creationId xmlns:a16="http://schemas.microsoft.com/office/drawing/2014/main" id="{00000000-0008-0000-0A00-0000AD00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74" name="CuadroTexto 173">
                  <a:extLst>
                    <a:ext uri="{FF2B5EF4-FFF2-40B4-BE49-F238E27FC236}">
                      <a16:creationId xmlns:a16="http://schemas.microsoft.com/office/drawing/2014/main" id="{00000000-0008-0000-0A00-0000AE000000}"/>
                    </a:ext>
                  </a:extLst>
                </xdr:cNvPr>
                <xdr:cNvSpPr txBox="1"/>
              </xdr:nvSpPr>
              <xdr:spPr>
                <a:xfrm>
                  <a:off x="28483071" y="12464143"/>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M$28">
              <xdr:nvSpPr>
                <xdr:cNvPr id="175" name="Rectángulo redondeado 174">
                  <a:extLst>
                    <a:ext uri="{FF2B5EF4-FFF2-40B4-BE49-F238E27FC236}">
                      <a16:creationId xmlns:a16="http://schemas.microsoft.com/office/drawing/2014/main" id="{00000000-0008-0000-0A00-0000AF000000}"/>
                    </a:ext>
                  </a:extLst>
                </xdr:cNvPr>
                <xdr:cNvSpPr/>
              </xdr:nvSpPr>
              <xdr:spPr>
                <a:xfrm>
                  <a:off x="29530050"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919415C-C649-4334-9208-BA429D4406BD}" type="TxLink">
                    <a:rPr lang="en-US" sz="1600" b="1" i="0" u="none" strike="noStrike">
                      <a:solidFill>
                        <a:schemeClr val="tx1">
                          <a:lumMod val="95000"/>
                          <a:lumOff val="5000"/>
                        </a:schemeClr>
                      </a:solidFill>
                      <a:latin typeface="Century Gothic"/>
                    </a:rPr>
                    <a:pPr algn="ctr"/>
                    <a:t>-</a:t>
                  </a:fld>
                  <a:endParaRPr lang="es-CO" sz="5400">
                    <a:solidFill>
                      <a:schemeClr val="tx1">
                        <a:lumMod val="95000"/>
                        <a:lumOff val="5000"/>
                      </a:schemeClr>
                    </a:solidFill>
                  </a:endParaRPr>
                </a:p>
              </xdr:txBody>
            </xdr:sp>
          </xdr:grpSp>
          <xdr:grpSp>
            <xdr:nvGrpSpPr>
              <xdr:cNvPr id="84" name="Grupo 83">
                <a:extLst>
                  <a:ext uri="{FF2B5EF4-FFF2-40B4-BE49-F238E27FC236}">
                    <a16:creationId xmlns:a16="http://schemas.microsoft.com/office/drawing/2014/main" id="{00000000-0008-0000-0A00-000054000000}"/>
                  </a:ext>
                </a:extLst>
              </xdr:cNvPr>
              <xdr:cNvGrpSpPr/>
            </xdr:nvGrpSpPr>
            <xdr:grpSpPr>
              <a:xfrm>
                <a:off x="6439138" y="17482509"/>
                <a:ext cx="770852" cy="276193"/>
                <a:chOff x="6439138" y="17482509"/>
                <a:chExt cx="770852" cy="276193"/>
              </a:xfrm>
            </xdr:grpSpPr>
            <xdr:sp macro="" textlink="$L$28">
              <xdr:nvSpPr>
                <xdr:cNvPr id="472" name="Rectángulo 471">
                  <a:extLst>
                    <a:ext uri="{FF2B5EF4-FFF2-40B4-BE49-F238E27FC236}">
                      <a16:creationId xmlns:a16="http://schemas.microsoft.com/office/drawing/2014/main" id="{00000000-0008-0000-0A00-0000D8010000}"/>
                    </a:ext>
                  </a:extLst>
                </xdr:cNvPr>
                <xdr:cNvSpPr/>
              </xdr:nvSpPr>
              <xdr:spPr>
                <a:xfrm>
                  <a:off x="6457957" y="1748655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590A664-5B50-42CD-8CC9-9E947BC8336C}" type="TxLink">
                    <a:rPr lang="en-US" sz="1100" b="1" i="0" u="none" strike="noStrike">
                      <a:solidFill>
                        <a:schemeClr val="tx1">
                          <a:lumMod val="95000"/>
                          <a:lumOff val="5000"/>
                        </a:schemeClr>
                      </a:solidFill>
                      <a:latin typeface="Century Gothic"/>
                    </a:rPr>
                    <a:pPr algn="ctr"/>
                    <a:t>-</a:t>
                  </a:fld>
                  <a:endParaRPr lang="es-CO" sz="4400" b="1">
                    <a:solidFill>
                      <a:schemeClr val="tx1">
                        <a:lumMod val="95000"/>
                        <a:lumOff val="5000"/>
                      </a:schemeClr>
                    </a:solidFill>
                  </a:endParaRPr>
                </a:p>
              </xdr:txBody>
            </xdr:sp>
            <xdr:sp macro="" textlink="$J$28">
              <xdr:nvSpPr>
                <xdr:cNvPr id="473" name="Rectángulo 472">
                  <a:extLst>
                    <a:ext uri="{FF2B5EF4-FFF2-40B4-BE49-F238E27FC236}">
                      <a16:creationId xmlns:a16="http://schemas.microsoft.com/office/drawing/2014/main" id="{00000000-0008-0000-0A00-0000D9010000}"/>
                    </a:ext>
                  </a:extLst>
                </xdr:cNvPr>
                <xdr:cNvSpPr/>
              </xdr:nvSpPr>
              <xdr:spPr>
                <a:xfrm>
                  <a:off x="6734051" y="1748655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4C6EB7-4A0A-4928-8BB8-ADB5DD5EC4CD}" type="TxLink">
                    <a:rPr lang="en-US" sz="1100" b="1" i="0" u="none" strike="noStrike">
                      <a:solidFill>
                        <a:schemeClr val="tx1">
                          <a:lumMod val="95000"/>
                          <a:lumOff val="5000"/>
                        </a:schemeClr>
                      </a:solidFill>
                      <a:latin typeface="Century Gothic"/>
                    </a:rPr>
                    <a:pPr algn="ctr"/>
                    <a:t>0</a:t>
                  </a:fld>
                  <a:endParaRPr lang="es-CO" sz="4400" b="1">
                    <a:solidFill>
                      <a:schemeClr val="tx1">
                        <a:lumMod val="95000"/>
                        <a:lumOff val="5000"/>
                      </a:schemeClr>
                    </a:solidFill>
                  </a:endParaRPr>
                </a:p>
              </xdr:txBody>
            </xdr:sp>
            <xdr:sp macro="" textlink="">
              <xdr:nvSpPr>
                <xdr:cNvPr id="520" name="CuadroTexto 519">
                  <a:extLst>
                    <a:ext uri="{FF2B5EF4-FFF2-40B4-BE49-F238E27FC236}">
                      <a16:creationId xmlns:a16="http://schemas.microsoft.com/office/drawing/2014/main" id="{00000000-0008-0000-0A00-000008020000}"/>
                    </a:ext>
                  </a:extLst>
                </xdr:cNvPr>
                <xdr:cNvSpPr txBox="1"/>
              </xdr:nvSpPr>
              <xdr:spPr>
                <a:xfrm>
                  <a:off x="6439138" y="1748250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chemeClr val="tx1">
                          <a:lumMod val="95000"/>
                          <a:lumOff val="5000"/>
                        </a:schemeClr>
                      </a:solidFill>
                      <a:latin typeface="Century Gothic" panose="020B0502020202020204" pitchFamily="34" charset="0"/>
                    </a:rPr>
                    <a:t>(</a:t>
                  </a:r>
                  <a:r>
                    <a:rPr lang="es-CO" sz="1100" baseline="0">
                      <a:solidFill>
                        <a:schemeClr val="tx1">
                          <a:lumMod val="95000"/>
                          <a:lumOff val="5000"/>
                        </a:schemeClr>
                      </a:solidFill>
                      <a:latin typeface="Century Gothic" panose="020B0502020202020204" pitchFamily="34" charset="0"/>
                    </a:rPr>
                    <a:t>     /     </a:t>
                  </a:r>
                  <a:r>
                    <a:rPr lang="es-CO" sz="1100">
                      <a:solidFill>
                        <a:schemeClr val="tx1">
                          <a:lumMod val="95000"/>
                          <a:lumOff val="5000"/>
                        </a:schemeClr>
                      </a:solidFill>
                      <a:latin typeface="Century Gothic" panose="020B0502020202020204" pitchFamily="34" charset="0"/>
                    </a:rPr>
                    <a:t>)</a:t>
                  </a:r>
                </a:p>
              </xdr:txBody>
            </xdr:sp>
          </xdr:grpSp>
        </xdr:grpSp>
      </xdr:grpSp>
    </xdr:grpSp>
    <xdr:clientData/>
  </xdr:twoCellAnchor>
  <xdr:twoCellAnchor editAs="absolute">
    <xdr:from>
      <xdr:col>22</xdr:col>
      <xdr:colOff>1042272</xdr:colOff>
      <xdr:row>35</xdr:row>
      <xdr:rowOff>123701</xdr:rowOff>
    </xdr:from>
    <xdr:to>
      <xdr:col>37</xdr:col>
      <xdr:colOff>27122</xdr:colOff>
      <xdr:row>73</xdr:row>
      <xdr:rowOff>39591</xdr:rowOff>
    </xdr:to>
    <xdr:grpSp>
      <xdr:nvGrpSpPr>
        <xdr:cNvPr id="1162" name="Grupo 1161">
          <a:extLst>
            <a:ext uri="{FF2B5EF4-FFF2-40B4-BE49-F238E27FC236}">
              <a16:creationId xmlns:a16="http://schemas.microsoft.com/office/drawing/2014/main" id="{00000000-0008-0000-0A00-00008A040000}"/>
            </a:ext>
          </a:extLst>
        </xdr:cNvPr>
        <xdr:cNvGrpSpPr/>
      </xdr:nvGrpSpPr>
      <xdr:grpSpPr>
        <a:xfrm>
          <a:off x="23347101" y="9474530"/>
          <a:ext cx="11329250" cy="6534404"/>
          <a:chOff x="11922544" y="9446090"/>
          <a:chExt cx="11005400" cy="7878790"/>
        </a:xfrm>
      </xdr:grpSpPr>
      <xdr:grpSp>
        <xdr:nvGrpSpPr>
          <xdr:cNvPr id="575" name="Grupo 574">
            <a:extLst>
              <a:ext uri="{FF2B5EF4-FFF2-40B4-BE49-F238E27FC236}">
                <a16:creationId xmlns:a16="http://schemas.microsoft.com/office/drawing/2014/main" id="{00000000-0008-0000-0A00-00003F020000}"/>
              </a:ext>
            </a:extLst>
          </xdr:cNvPr>
          <xdr:cNvGrpSpPr/>
        </xdr:nvGrpSpPr>
        <xdr:grpSpPr>
          <a:xfrm>
            <a:off x="11931653" y="9446090"/>
            <a:ext cx="10943885" cy="849832"/>
            <a:chOff x="11896943" y="10589079"/>
            <a:chExt cx="10912926" cy="842845"/>
          </a:xfrm>
        </xdr:grpSpPr>
        <xdr:sp macro="" textlink="">
          <xdr:nvSpPr>
            <xdr:cNvPr id="296" name="Rectángulo 295">
              <a:extLst>
                <a:ext uri="{FF2B5EF4-FFF2-40B4-BE49-F238E27FC236}">
                  <a16:creationId xmlns:a16="http://schemas.microsoft.com/office/drawing/2014/main" id="{00000000-0008-0000-0A00-000028010000}"/>
                </a:ext>
              </a:extLst>
            </xdr:cNvPr>
            <xdr:cNvSpPr/>
          </xdr:nvSpPr>
          <xdr:spPr>
            <a:xfrm>
              <a:off x="11896943" y="10589079"/>
              <a:ext cx="996103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tx1"/>
                  </a:solidFill>
                  <a:latin typeface="Century Gothic" panose="020B0502020202020204" pitchFamily="34" charset="0"/>
                </a:rPr>
                <a:t>PROPORCIÓN DE OPORTUNIDADES DE MEJORA CERRADAS DE LAS AUDITORÍAS CON ENFOQUE EN RIESGOS, ESE METROSALUD, 2019 - 2023</a:t>
              </a:r>
            </a:p>
          </xdr:txBody>
        </xdr:sp>
        <xdr:grpSp>
          <xdr:nvGrpSpPr>
            <xdr:cNvPr id="574" name="Grupo 573">
              <a:extLst>
                <a:ext uri="{FF2B5EF4-FFF2-40B4-BE49-F238E27FC236}">
                  <a16:creationId xmlns:a16="http://schemas.microsoft.com/office/drawing/2014/main" id="{00000000-0008-0000-0A00-00003E020000}"/>
                </a:ext>
              </a:extLst>
            </xdr:cNvPr>
            <xdr:cNvGrpSpPr/>
          </xdr:nvGrpSpPr>
          <xdr:grpSpPr>
            <a:xfrm>
              <a:off x="21884065" y="10589079"/>
              <a:ext cx="925804" cy="842845"/>
              <a:chOff x="21884065" y="10589079"/>
              <a:chExt cx="925804" cy="842845"/>
            </a:xfrm>
          </xdr:grpSpPr>
          <xdr:sp macro="" textlink="$X$32">
            <xdr:nvSpPr>
              <xdr:cNvPr id="295" name="Rectángulo 294">
                <a:extLst>
                  <a:ext uri="{FF2B5EF4-FFF2-40B4-BE49-F238E27FC236}">
                    <a16:creationId xmlns:a16="http://schemas.microsoft.com/office/drawing/2014/main" id="{00000000-0008-0000-0A00-000027010000}"/>
                  </a:ext>
                </a:extLst>
              </xdr:cNvPr>
              <xdr:cNvSpPr/>
            </xdr:nvSpPr>
            <xdr:spPr>
              <a:xfrm>
                <a:off x="21896706"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BDB602-5289-402C-ADEE-C9F1A500DA2A}" type="TxLink">
                  <a:rPr lang="en-US" sz="2000" b="1" i="0" u="none" strike="noStrike">
                    <a:solidFill>
                      <a:srgbClr val="FF0000"/>
                    </a:solidFill>
                    <a:latin typeface="Century Gothic"/>
                  </a:rPr>
                  <a:pPr algn="ctr"/>
                  <a:t>10,1%</a:t>
                </a:fld>
                <a:endParaRPr lang="es-CO" sz="8000">
                  <a:solidFill>
                    <a:srgbClr val="FF0000"/>
                  </a:solidFill>
                </a:endParaRPr>
              </a:p>
            </xdr:txBody>
          </xdr:sp>
          <xdr:grpSp>
            <xdr:nvGrpSpPr>
              <xdr:cNvPr id="573" name="Grupo 572">
                <a:extLst>
                  <a:ext uri="{FF2B5EF4-FFF2-40B4-BE49-F238E27FC236}">
                    <a16:creationId xmlns:a16="http://schemas.microsoft.com/office/drawing/2014/main" id="{00000000-0008-0000-0A00-00003D020000}"/>
                  </a:ext>
                </a:extLst>
              </xdr:cNvPr>
              <xdr:cNvGrpSpPr/>
            </xdr:nvGrpSpPr>
            <xdr:grpSpPr>
              <a:xfrm>
                <a:off x="21884065" y="11115359"/>
                <a:ext cx="898782" cy="299248"/>
                <a:chOff x="21884065" y="11115359"/>
                <a:chExt cx="898782" cy="299248"/>
              </a:xfrm>
            </xdr:grpSpPr>
            <xdr:sp macro="" textlink="$W$32">
              <xdr:nvSpPr>
                <xdr:cNvPr id="301" name="Rectángulo 300">
                  <a:extLst>
                    <a:ext uri="{FF2B5EF4-FFF2-40B4-BE49-F238E27FC236}">
                      <a16:creationId xmlns:a16="http://schemas.microsoft.com/office/drawing/2014/main" id="{00000000-0008-0000-0A00-00002D01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73493F-3060-41AA-89CB-5219DB8E2E44}" type="TxLink">
                    <a:rPr lang="en-US" sz="1100" b="1" i="0" u="none" strike="noStrike">
                      <a:solidFill>
                        <a:srgbClr val="FF0000"/>
                      </a:solidFill>
                      <a:latin typeface="Century Gothic"/>
                    </a:rPr>
                    <a:pPr algn="ctr"/>
                    <a:t>41</a:t>
                  </a:fld>
                  <a:endParaRPr lang="es-CO" sz="1100">
                    <a:solidFill>
                      <a:srgbClr val="FF0000"/>
                    </a:solidFill>
                  </a:endParaRPr>
                </a:p>
              </xdr:txBody>
            </xdr:sp>
            <xdr:sp macro="" textlink="">
              <xdr:nvSpPr>
                <xdr:cNvPr id="302" name="CuadroTexto 301">
                  <a:extLst>
                    <a:ext uri="{FF2B5EF4-FFF2-40B4-BE49-F238E27FC236}">
                      <a16:creationId xmlns:a16="http://schemas.microsoft.com/office/drawing/2014/main" id="{00000000-0008-0000-0A00-00002E010000}"/>
                    </a:ext>
                  </a:extLst>
                </xdr:cNvPr>
                <xdr:cNvSpPr txBox="1"/>
              </xdr:nvSpPr>
              <xdr:spPr>
                <a:xfrm>
                  <a:off x="21884065" y="11115359"/>
                  <a:ext cx="898782" cy="2693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0000"/>
                      </a:solidFill>
                      <a:latin typeface="Century Gothic" panose="020B0502020202020204" pitchFamily="34" charset="0"/>
                    </a:rPr>
                    <a:t>(       /  </a:t>
                  </a:r>
                  <a:r>
                    <a:rPr lang="es-CO" sz="1100" i="0" baseline="0">
                      <a:solidFill>
                        <a:srgbClr val="FF0000"/>
                      </a:solidFill>
                      <a:latin typeface="Century Gothic" panose="020B0502020202020204" pitchFamily="34" charset="0"/>
                    </a:rPr>
                    <a:t>      </a:t>
                  </a:r>
                  <a:r>
                    <a:rPr lang="es-CO" sz="1100" i="0">
                      <a:solidFill>
                        <a:srgbClr val="FF0000"/>
                      </a:solidFill>
                      <a:latin typeface="Century Gothic" panose="020B0502020202020204" pitchFamily="34" charset="0"/>
                    </a:rPr>
                    <a:t>)</a:t>
                  </a:r>
                </a:p>
              </xdr:txBody>
            </xdr:sp>
            <xdr:sp macro="" textlink="$K$32">
              <xdr:nvSpPr>
                <xdr:cNvPr id="303" name="Rectángulo 302">
                  <a:extLst>
                    <a:ext uri="{FF2B5EF4-FFF2-40B4-BE49-F238E27FC236}">
                      <a16:creationId xmlns:a16="http://schemas.microsoft.com/office/drawing/2014/main" id="{00000000-0008-0000-0A00-00002F01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C3F159-7729-4C43-94CB-D1039B7E5B96}" type="TxLink">
                    <a:rPr lang="en-US" sz="1100" b="1" i="0" u="none" strike="noStrike">
                      <a:solidFill>
                        <a:srgbClr val="FF0000"/>
                      </a:solidFill>
                      <a:latin typeface="Century Gothic"/>
                    </a:rPr>
                    <a:pPr algn="ctr"/>
                    <a:t>405</a:t>
                  </a:fld>
                  <a:endParaRPr lang="es-CO" sz="1100">
                    <a:solidFill>
                      <a:srgbClr val="FF0000"/>
                    </a:solidFill>
                  </a:endParaRPr>
                </a:p>
              </xdr:txBody>
            </xdr:sp>
          </xdr:grpSp>
        </xdr:grpSp>
      </xdr:grpSp>
      <xdr:grpSp>
        <xdr:nvGrpSpPr>
          <xdr:cNvPr id="1161" name="Grupo 1160">
            <a:extLst>
              <a:ext uri="{FF2B5EF4-FFF2-40B4-BE49-F238E27FC236}">
                <a16:creationId xmlns:a16="http://schemas.microsoft.com/office/drawing/2014/main" id="{00000000-0008-0000-0A00-000089040000}"/>
              </a:ext>
            </a:extLst>
          </xdr:cNvPr>
          <xdr:cNvGrpSpPr/>
        </xdr:nvGrpSpPr>
        <xdr:grpSpPr>
          <a:xfrm>
            <a:off x="11922544" y="10411458"/>
            <a:ext cx="11005400" cy="6913422"/>
            <a:chOff x="11922544" y="10411458"/>
            <a:chExt cx="11005400" cy="6913422"/>
          </a:xfrm>
        </xdr:grpSpPr>
        <xdr:sp macro="" textlink="">
          <xdr:nvSpPr>
            <xdr:cNvPr id="167" name="Rectángulo redondeado 166">
              <a:extLst>
                <a:ext uri="{FF2B5EF4-FFF2-40B4-BE49-F238E27FC236}">
                  <a16:creationId xmlns:a16="http://schemas.microsoft.com/office/drawing/2014/main" id="{00000000-0008-0000-0A00-0000A7000000}"/>
                </a:ext>
              </a:extLst>
            </xdr:cNvPr>
            <xdr:cNvSpPr/>
          </xdr:nvSpPr>
          <xdr:spPr>
            <a:xfrm>
              <a:off x="11922544" y="10411458"/>
              <a:ext cx="11005400" cy="6913422"/>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88" name="Grupo 587">
              <a:extLst>
                <a:ext uri="{FF2B5EF4-FFF2-40B4-BE49-F238E27FC236}">
                  <a16:creationId xmlns:a16="http://schemas.microsoft.com/office/drawing/2014/main" id="{00000000-0008-0000-0A00-00004C020000}"/>
                </a:ext>
              </a:extLst>
            </xdr:cNvPr>
            <xdr:cNvGrpSpPr/>
          </xdr:nvGrpSpPr>
          <xdr:grpSpPr>
            <a:xfrm>
              <a:off x="12031390" y="10425193"/>
              <a:ext cx="10712849" cy="1653631"/>
              <a:chOff x="11996402" y="11560135"/>
              <a:chExt cx="10682546" cy="1640036"/>
            </a:xfrm>
          </xdr:grpSpPr>
          <xdr:grpSp>
            <xdr:nvGrpSpPr>
              <xdr:cNvPr id="234" name="Grupo 233">
                <a:extLst>
                  <a:ext uri="{FF2B5EF4-FFF2-40B4-BE49-F238E27FC236}">
                    <a16:creationId xmlns:a16="http://schemas.microsoft.com/office/drawing/2014/main" id="{00000000-0008-0000-0A00-0000EA000000}"/>
                  </a:ext>
                </a:extLst>
              </xdr:cNvPr>
              <xdr:cNvGrpSpPr/>
            </xdr:nvGrpSpPr>
            <xdr:grpSpPr>
              <a:xfrm>
                <a:off x="11996402" y="11560135"/>
                <a:ext cx="719624" cy="1640036"/>
                <a:chOff x="27415305" y="8324853"/>
                <a:chExt cx="719624" cy="1610348"/>
              </a:xfrm>
            </xdr:grpSpPr>
            <xdr:sp macro="" textlink="">
              <xdr:nvSpPr>
                <xdr:cNvPr id="247" name="Rectángulo 246">
                  <a:extLst>
                    <a:ext uri="{FF2B5EF4-FFF2-40B4-BE49-F238E27FC236}">
                      <a16:creationId xmlns:a16="http://schemas.microsoft.com/office/drawing/2014/main" id="{00000000-0008-0000-0A00-0000F7000000}"/>
                    </a:ext>
                  </a:extLst>
                </xdr:cNvPr>
                <xdr:cNvSpPr/>
              </xdr:nvSpPr>
              <xdr:spPr>
                <a:xfrm>
                  <a:off x="27415305" y="8450034"/>
                  <a:ext cx="719624"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8" name="CuadroTexto 247">
                  <a:extLst>
                    <a:ext uri="{FF2B5EF4-FFF2-40B4-BE49-F238E27FC236}">
                      <a16:creationId xmlns:a16="http://schemas.microsoft.com/office/drawing/2014/main" id="{00000000-0008-0000-0A00-0000F8000000}"/>
                    </a:ext>
                  </a:extLst>
                </xdr:cNvPr>
                <xdr:cNvSpPr txBox="1"/>
              </xdr:nvSpPr>
              <xdr:spPr>
                <a:xfrm rot="16200000">
                  <a:off x="26948833"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sp macro="" textlink="">
            <xdr:nvSpPr>
              <xdr:cNvPr id="232" name="Flecha abajo 231">
                <a:extLst>
                  <a:ext uri="{FF2B5EF4-FFF2-40B4-BE49-F238E27FC236}">
                    <a16:creationId xmlns:a16="http://schemas.microsoft.com/office/drawing/2014/main" id="{00000000-0008-0000-0A00-0000E8000000}"/>
                  </a:ext>
                </a:extLst>
              </xdr:cNvPr>
              <xdr:cNvSpPr/>
            </xdr:nvSpPr>
            <xdr:spPr>
              <a:xfrm>
                <a:off x="17372127" y="12875080"/>
                <a:ext cx="468000" cy="291710"/>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84" name="Grupo 583">
                <a:extLst>
                  <a:ext uri="{FF2B5EF4-FFF2-40B4-BE49-F238E27FC236}">
                    <a16:creationId xmlns:a16="http://schemas.microsoft.com/office/drawing/2014/main" id="{00000000-0008-0000-0A00-000048020000}"/>
                  </a:ext>
                </a:extLst>
              </xdr:cNvPr>
              <xdr:cNvGrpSpPr/>
            </xdr:nvGrpSpPr>
            <xdr:grpSpPr>
              <a:xfrm>
                <a:off x="12791456" y="12043791"/>
                <a:ext cx="2623086" cy="750638"/>
                <a:chOff x="12791456" y="12043791"/>
                <a:chExt cx="2623086" cy="750638"/>
              </a:xfrm>
            </xdr:grpSpPr>
            <xdr:grpSp>
              <xdr:nvGrpSpPr>
                <xdr:cNvPr id="583" name="Grupo 582">
                  <a:extLst>
                    <a:ext uri="{FF2B5EF4-FFF2-40B4-BE49-F238E27FC236}">
                      <a16:creationId xmlns:a16="http://schemas.microsoft.com/office/drawing/2014/main" id="{00000000-0008-0000-0A00-000047020000}"/>
                    </a:ext>
                  </a:extLst>
                </xdr:cNvPr>
                <xdr:cNvGrpSpPr/>
              </xdr:nvGrpSpPr>
              <xdr:grpSpPr>
                <a:xfrm>
                  <a:off x="12791456" y="12043791"/>
                  <a:ext cx="2623086" cy="734845"/>
                  <a:chOff x="12791456" y="12043791"/>
                  <a:chExt cx="2623086" cy="734845"/>
                </a:xfrm>
              </xdr:grpSpPr>
              <xdr:grpSp>
                <xdr:nvGrpSpPr>
                  <xdr:cNvPr id="582" name="Grupo 581">
                    <a:extLst>
                      <a:ext uri="{FF2B5EF4-FFF2-40B4-BE49-F238E27FC236}">
                        <a16:creationId xmlns:a16="http://schemas.microsoft.com/office/drawing/2014/main" id="{00000000-0008-0000-0A00-000046020000}"/>
                      </a:ext>
                    </a:extLst>
                  </xdr:cNvPr>
                  <xdr:cNvGrpSpPr/>
                </xdr:nvGrpSpPr>
                <xdr:grpSpPr>
                  <a:xfrm>
                    <a:off x="12791456" y="12043791"/>
                    <a:ext cx="2623086" cy="734845"/>
                    <a:chOff x="12791456" y="12043791"/>
                    <a:chExt cx="2623086" cy="734845"/>
                  </a:xfrm>
                </xdr:grpSpPr>
                <xdr:sp macro="" textlink="">
                  <xdr:nvSpPr>
                    <xdr:cNvPr id="249" name="Cheurón 248">
                      <a:extLst>
                        <a:ext uri="{FF2B5EF4-FFF2-40B4-BE49-F238E27FC236}">
                          <a16:creationId xmlns:a16="http://schemas.microsoft.com/office/drawing/2014/main" id="{00000000-0008-0000-0A00-0000F9000000}"/>
                        </a:ext>
                      </a:extLst>
                    </xdr:cNvPr>
                    <xdr:cNvSpPr/>
                  </xdr:nvSpPr>
                  <xdr:spPr>
                    <a:xfrm>
                      <a:off x="12791456" y="12043791"/>
                      <a:ext cx="2623086" cy="734845"/>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50" name="CuadroTexto 249">
                      <a:extLst>
                        <a:ext uri="{FF2B5EF4-FFF2-40B4-BE49-F238E27FC236}">
                          <a16:creationId xmlns:a16="http://schemas.microsoft.com/office/drawing/2014/main" id="{00000000-0008-0000-0A00-0000FA000000}"/>
                        </a:ext>
                      </a:extLst>
                    </xdr:cNvPr>
                    <xdr:cNvSpPr txBox="1"/>
                  </xdr:nvSpPr>
                  <xdr:spPr>
                    <a:xfrm>
                      <a:off x="12949571" y="12201748"/>
                      <a:ext cx="1710407" cy="44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grpSp>
              <xdr:sp macro="" textlink="$X$6">
                <xdr:nvSpPr>
                  <xdr:cNvPr id="251" name="Rectángulo redondeado 250">
                    <a:extLst>
                      <a:ext uri="{FF2B5EF4-FFF2-40B4-BE49-F238E27FC236}">
                        <a16:creationId xmlns:a16="http://schemas.microsoft.com/office/drawing/2014/main" id="{00000000-0008-0000-0A00-0000FB000000}"/>
                      </a:ext>
                    </a:extLst>
                  </xdr:cNvPr>
                  <xdr:cNvSpPr/>
                </xdr:nvSpPr>
                <xdr:spPr>
                  <a:xfrm>
                    <a:off x="14462512" y="12157963"/>
                    <a:ext cx="934250" cy="5126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01D60D-B338-4374-B3D9-1553B46C283B}" type="TxLink">
                      <a:rPr lang="en-US" sz="1600" b="1" i="0" u="none" strike="noStrike">
                        <a:solidFill>
                          <a:srgbClr val="FFFF00"/>
                        </a:solidFill>
                        <a:latin typeface="Century Gothic"/>
                      </a:rPr>
                      <a:pPr algn="ctr"/>
                      <a:t>0,0%</a:t>
                    </a:fld>
                    <a:endParaRPr lang="es-CO" sz="2000">
                      <a:solidFill>
                        <a:srgbClr val="FFFF00"/>
                      </a:solidFill>
                    </a:endParaRPr>
                  </a:p>
                </xdr:txBody>
              </xdr:sp>
            </xdr:grpSp>
            <xdr:grpSp>
              <xdr:nvGrpSpPr>
                <xdr:cNvPr id="576" name="Grupo 575">
                  <a:extLst>
                    <a:ext uri="{FF2B5EF4-FFF2-40B4-BE49-F238E27FC236}">
                      <a16:creationId xmlns:a16="http://schemas.microsoft.com/office/drawing/2014/main" id="{00000000-0008-0000-0A00-000040020000}"/>
                    </a:ext>
                  </a:extLst>
                </xdr:cNvPr>
                <xdr:cNvGrpSpPr/>
              </xdr:nvGrpSpPr>
              <xdr:grpSpPr>
                <a:xfrm>
                  <a:off x="14440611" y="12513585"/>
                  <a:ext cx="828000" cy="280844"/>
                  <a:chOff x="14427220" y="12646387"/>
                  <a:chExt cx="828000" cy="280844"/>
                </a:xfrm>
              </xdr:grpSpPr>
              <xdr:sp macro="" textlink="$W$6">
                <xdr:nvSpPr>
                  <xdr:cNvPr id="523" name="Rectángulo 522">
                    <a:extLst>
                      <a:ext uri="{FF2B5EF4-FFF2-40B4-BE49-F238E27FC236}">
                        <a16:creationId xmlns:a16="http://schemas.microsoft.com/office/drawing/2014/main" id="{00000000-0008-0000-0A00-00000B020000}"/>
                      </a:ext>
                    </a:extLst>
                  </xdr:cNvPr>
                  <xdr:cNvSpPr/>
                </xdr:nvSpPr>
                <xdr:spPr>
                  <a:xfrm>
                    <a:off x="14492534"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EA52D3B-97F3-4073-8825-C8ADAAC75FE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6">
                <xdr:nvSpPr>
                  <xdr:cNvPr id="524" name="Rectángulo 523">
                    <a:extLst>
                      <a:ext uri="{FF2B5EF4-FFF2-40B4-BE49-F238E27FC236}">
                        <a16:creationId xmlns:a16="http://schemas.microsoft.com/office/drawing/2014/main" id="{00000000-0008-0000-0A00-00000C020000}"/>
                      </a:ext>
                    </a:extLst>
                  </xdr:cNvPr>
                  <xdr:cNvSpPr/>
                </xdr:nvSpPr>
                <xdr:spPr>
                  <a:xfrm>
                    <a:off x="14787189" y="12647666"/>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3D980C5-E4DB-4679-98A6-B072E20886D7}"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
                <xdr:nvSpPr>
                  <xdr:cNvPr id="526" name="CuadroTexto 525">
                    <a:extLst>
                      <a:ext uri="{FF2B5EF4-FFF2-40B4-BE49-F238E27FC236}">
                        <a16:creationId xmlns:a16="http://schemas.microsoft.com/office/drawing/2014/main" id="{00000000-0008-0000-0A00-00000E020000}"/>
                      </a:ext>
                    </a:extLst>
                  </xdr:cNvPr>
                  <xdr:cNvSpPr txBox="1"/>
                </xdr:nvSpPr>
                <xdr:spPr>
                  <a:xfrm>
                    <a:off x="14427220" y="12646387"/>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5" name="Grupo 584">
                <a:extLst>
                  <a:ext uri="{FF2B5EF4-FFF2-40B4-BE49-F238E27FC236}">
                    <a16:creationId xmlns:a16="http://schemas.microsoft.com/office/drawing/2014/main" id="{00000000-0008-0000-0A00-000049020000}"/>
                  </a:ext>
                </a:extLst>
              </xdr:cNvPr>
              <xdr:cNvGrpSpPr/>
            </xdr:nvGrpSpPr>
            <xdr:grpSpPr>
              <a:xfrm>
                <a:off x="15211291" y="12043791"/>
                <a:ext cx="2628002" cy="750638"/>
                <a:chOff x="15211291" y="12043791"/>
                <a:chExt cx="2628002" cy="750638"/>
              </a:xfrm>
            </xdr:grpSpPr>
            <xdr:grpSp>
              <xdr:nvGrpSpPr>
                <xdr:cNvPr id="235" name="Grupo 234">
                  <a:extLst>
                    <a:ext uri="{FF2B5EF4-FFF2-40B4-BE49-F238E27FC236}">
                      <a16:creationId xmlns:a16="http://schemas.microsoft.com/office/drawing/2014/main" id="{00000000-0008-0000-0A00-0000EB000000}"/>
                    </a:ext>
                  </a:extLst>
                </xdr:cNvPr>
                <xdr:cNvGrpSpPr/>
              </xdr:nvGrpSpPr>
              <xdr:grpSpPr>
                <a:xfrm>
                  <a:off x="15211291" y="12043791"/>
                  <a:ext cx="2628002" cy="734845"/>
                  <a:chOff x="28594637" y="2081892"/>
                  <a:chExt cx="2433637" cy="585107"/>
                </a:xfrm>
              </xdr:grpSpPr>
              <xdr:sp macro="" textlink="">
                <xdr:nvSpPr>
                  <xdr:cNvPr id="244" name="Cheurón 243">
                    <a:extLst>
                      <a:ext uri="{FF2B5EF4-FFF2-40B4-BE49-F238E27FC236}">
                        <a16:creationId xmlns:a16="http://schemas.microsoft.com/office/drawing/2014/main" id="{00000000-0008-0000-0A00-0000F400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45" name="CuadroTexto 244">
                    <a:extLst>
                      <a:ext uri="{FF2B5EF4-FFF2-40B4-BE49-F238E27FC236}">
                        <a16:creationId xmlns:a16="http://schemas.microsoft.com/office/drawing/2014/main" id="{00000000-0008-0000-0A00-0000F5000000}"/>
                      </a:ext>
                    </a:extLst>
                  </xdr:cNvPr>
                  <xdr:cNvSpPr txBox="1"/>
                </xdr:nvSpPr>
                <xdr:spPr>
                  <a:xfrm>
                    <a:off x="2881925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X$7">
                <xdr:nvSpPr>
                  <xdr:cNvPr id="246" name="Rectángulo redondeado 245">
                    <a:extLst>
                      <a:ext uri="{FF2B5EF4-FFF2-40B4-BE49-F238E27FC236}">
                        <a16:creationId xmlns:a16="http://schemas.microsoft.com/office/drawing/2014/main" id="{00000000-0008-0000-0A00-0000F6000000}"/>
                      </a:ext>
                    </a:extLst>
                  </xdr:cNvPr>
                  <xdr:cNvSpPr/>
                </xdr:nvSpPr>
                <xdr:spPr>
                  <a:xfrm>
                    <a:off x="30140480" y="2172799"/>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F34F973-5D83-4A9A-83AE-0C4B614CCB72}" type="TxLink">
                      <a:rPr lang="en-US" sz="1600" b="1" i="0" u="none" strike="noStrike">
                        <a:solidFill>
                          <a:srgbClr val="FFFF00"/>
                        </a:solidFill>
                        <a:latin typeface="Century Gothic"/>
                      </a:rPr>
                      <a:pPr algn="ctr"/>
                      <a:t>43,8%</a:t>
                    </a:fld>
                    <a:endParaRPr lang="es-CO" sz="2000">
                      <a:solidFill>
                        <a:srgbClr val="FFFF00"/>
                      </a:solidFill>
                    </a:endParaRPr>
                  </a:p>
                </xdr:txBody>
              </xdr:sp>
            </xdr:grpSp>
            <xdr:grpSp>
              <xdr:nvGrpSpPr>
                <xdr:cNvPr id="577" name="Grupo 576">
                  <a:extLst>
                    <a:ext uri="{FF2B5EF4-FFF2-40B4-BE49-F238E27FC236}">
                      <a16:creationId xmlns:a16="http://schemas.microsoft.com/office/drawing/2014/main" id="{00000000-0008-0000-0A00-000041020000}"/>
                    </a:ext>
                  </a:extLst>
                </xdr:cNvPr>
                <xdr:cNvGrpSpPr/>
              </xdr:nvGrpSpPr>
              <xdr:grpSpPr>
                <a:xfrm>
                  <a:off x="16866173" y="12511855"/>
                  <a:ext cx="828000" cy="282574"/>
                  <a:chOff x="16866173" y="12618680"/>
                  <a:chExt cx="828000" cy="282574"/>
                </a:xfrm>
              </xdr:grpSpPr>
              <xdr:sp macro="" textlink="$W$7">
                <xdr:nvSpPr>
                  <xdr:cNvPr id="529" name="Rectángulo 528">
                    <a:extLst>
                      <a:ext uri="{FF2B5EF4-FFF2-40B4-BE49-F238E27FC236}">
                        <a16:creationId xmlns:a16="http://schemas.microsoft.com/office/drawing/2014/main" id="{00000000-0008-0000-0A00-000011020000}"/>
                      </a:ext>
                    </a:extLst>
                  </xdr:cNvPr>
                  <xdr:cNvSpPr/>
                </xdr:nvSpPr>
                <xdr:spPr>
                  <a:xfrm>
                    <a:off x="16903592"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63503C0-8456-4376-875E-9AE23EE5EB89}" type="TxLink">
                      <a:rPr lang="en-US" sz="1100" b="1" i="0" u="none" strike="noStrike">
                        <a:solidFill>
                          <a:srgbClr val="FFFF00"/>
                        </a:solidFill>
                        <a:latin typeface="Century Gothic"/>
                      </a:rPr>
                      <a:pPr algn="ctr"/>
                      <a:t>7</a:t>
                    </a:fld>
                    <a:endParaRPr lang="es-CO" sz="1100" b="1">
                      <a:solidFill>
                        <a:srgbClr val="FFFF00"/>
                      </a:solidFill>
                    </a:endParaRPr>
                  </a:p>
                </xdr:txBody>
              </xdr:sp>
              <xdr:sp macro="" textlink="$K$7">
                <xdr:nvSpPr>
                  <xdr:cNvPr id="530" name="Rectángulo 529">
                    <a:extLst>
                      <a:ext uri="{FF2B5EF4-FFF2-40B4-BE49-F238E27FC236}">
                        <a16:creationId xmlns:a16="http://schemas.microsoft.com/office/drawing/2014/main" id="{00000000-0008-0000-0A00-000012020000}"/>
                      </a:ext>
                    </a:extLst>
                  </xdr:cNvPr>
                  <xdr:cNvSpPr/>
                </xdr:nvSpPr>
                <xdr:spPr>
                  <a:xfrm>
                    <a:off x="17198247"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739E6A-E8A6-4DB4-B440-F7B53EA53E0B}" type="TxLink">
                      <a:rPr lang="en-US" sz="1100" b="1" i="0" u="none" strike="noStrike">
                        <a:solidFill>
                          <a:srgbClr val="FFFF00"/>
                        </a:solidFill>
                        <a:latin typeface="Century Gothic"/>
                      </a:rPr>
                      <a:pPr algn="ctr"/>
                      <a:t>16</a:t>
                    </a:fld>
                    <a:endParaRPr lang="es-CO" sz="1100" b="1">
                      <a:solidFill>
                        <a:srgbClr val="FFFF00"/>
                      </a:solidFill>
                    </a:endParaRPr>
                  </a:p>
                </xdr:txBody>
              </xdr:sp>
              <xdr:sp macro="" textlink="">
                <xdr:nvSpPr>
                  <xdr:cNvPr id="531" name="CuadroTexto 530">
                    <a:extLst>
                      <a:ext uri="{FF2B5EF4-FFF2-40B4-BE49-F238E27FC236}">
                        <a16:creationId xmlns:a16="http://schemas.microsoft.com/office/drawing/2014/main" id="{00000000-0008-0000-0A00-000013020000}"/>
                      </a:ext>
                    </a:extLst>
                  </xdr:cNvPr>
                  <xdr:cNvSpPr txBox="1"/>
                </xdr:nvSpPr>
                <xdr:spPr>
                  <a:xfrm>
                    <a:off x="16866173" y="12618680"/>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6" name="Grupo 585">
                <a:extLst>
                  <a:ext uri="{FF2B5EF4-FFF2-40B4-BE49-F238E27FC236}">
                    <a16:creationId xmlns:a16="http://schemas.microsoft.com/office/drawing/2014/main" id="{00000000-0008-0000-0A00-00004A020000}"/>
                  </a:ext>
                </a:extLst>
              </xdr:cNvPr>
              <xdr:cNvGrpSpPr/>
            </xdr:nvGrpSpPr>
            <xdr:grpSpPr>
              <a:xfrm>
                <a:off x="17636047" y="12043791"/>
                <a:ext cx="2623084" cy="755383"/>
                <a:chOff x="17636047" y="12043791"/>
                <a:chExt cx="2623084" cy="755383"/>
              </a:xfrm>
            </xdr:grpSpPr>
            <xdr:grpSp>
              <xdr:nvGrpSpPr>
                <xdr:cNvPr id="236" name="Grupo 235">
                  <a:extLst>
                    <a:ext uri="{FF2B5EF4-FFF2-40B4-BE49-F238E27FC236}">
                      <a16:creationId xmlns:a16="http://schemas.microsoft.com/office/drawing/2014/main" id="{00000000-0008-0000-0A00-0000EC000000}"/>
                    </a:ext>
                  </a:extLst>
                </xdr:cNvPr>
                <xdr:cNvGrpSpPr/>
              </xdr:nvGrpSpPr>
              <xdr:grpSpPr>
                <a:xfrm>
                  <a:off x="17636047" y="12043791"/>
                  <a:ext cx="2623084" cy="734845"/>
                  <a:chOff x="28531632" y="2081892"/>
                  <a:chExt cx="2433638" cy="585107"/>
                </a:xfrm>
              </xdr:grpSpPr>
              <xdr:sp macro="" textlink="">
                <xdr:nvSpPr>
                  <xdr:cNvPr id="241" name="Cheurón 240">
                    <a:extLst>
                      <a:ext uri="{FF2B5EF4-FFF2-40B4-BE49-F238E27FC236}">
                        <a16:creationId xmlns:a16="http://schemas.microsoft.com/office/drawing/2014/main" id="{00000000-0008-0000-0A00-0000F100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42" name="CuadroTexto 241">
                    <a:extLst>
                      <a:ext uri="{FF2B5EF4-FFF2-40B4-BE49-F238E27FC236}">
                        <a16:creationId xmlns:a16="http://schemas.microsoft.com/office/drawing/2014/main" id="{00000000-0008-0000-0A00-0000F2000000}"/>
                      </a:ext>
                    </a:extLst>
                  </xdr:cNvPr>
                  <xdr:cNvSpPr txBox="1"/>
                </xdr:nvSpPr>
                <xdr:spPr>
                  <a:xfrm>
                    <a:off x="28789623" y="2127664"/>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X$8">
                <xdr:nvSpPr>
                  <xdr:cNvPr id="243" name="Rectángulo redondeado 242">
                    <a:extLst>
                      <a:ext uri="{FF2B5EF4-FFF2-40B4-BE49-F238E27FC236}">
                        <a16:creationId xmlns:a16="http://schemas.microsoft.com/office/drawing/2014/main" id="{00000000-0008-0000-0A00-0000F3000000}"/>
                      </a:ext>
                    </a:extLst>
                  </xdr:cNvPr>
                  <xdr:cNvSpPr/>
                </xdr:nvSpPr>
                <xdr:spPr>
                  <a:xfrm>
                    <a:off x="300900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8CDF26-B497-4F4C-88EF-7BC47AC9A248}" type="TxLink">
                      <a:rPr lang="en-US" sz="1600" b="1" i="0" u="none" strike="noStrike">
                        <a:solidFill>
                          <a:srgbClr val="FFFF00"/>
                        </a:solidFill>
                        <a:latin typeface="Century Gothic"/>
                      </a:rPr>
                      <a:pPr algn="ctr"/>
                      <a:t>-</a:t>
                    </a:fld>
                    <a:endParaRPr lang="es-CO" sz="3600">
                      <a:solidFill>
                        <a:srgbClr val="FFFF00"/>
                      </a:solidFill>
                    </a:endParaRPr>
                  </a:p>
                </xdr:txBody>
              </xdr:sp>
            </xdr:grpSp>
            <xdr:grpSp>
              <xdr:nvGrpSpPr>
                <xdr:cNvPr id="578" name="Grupo 577">
                  <a:extLst>
                    <a:ext uri="{FF2B5EF4-FFF2-40B4-BE49-F238E27FC236}">
                      <a16:creationId xmlns:a16="http://schemas.microsoft.com/office/drawing/2014/main" id="{00000000-0008-0000-0A00-000042020000}"/>
                    </a:ext>
                  </a:extLst>
                </xdr:cNvPr>
                <xdr:cNvGrpSpPr/>
              </xdr:nvGrpSpPr>
              <xdr:grpSpPr>
                <a:xfrm>
                  <a:off x="19306363" y="12514864"/>
                  <a:ext cx="828000" cy="284310"/>
                  <a:chOff x="19306363" y="12641831"/>
                  <a:chExt cx="828000" cy="284310"/>
                </a:xfrm>
              </xdr:grpSpPr>
              <xdr:sp macro="" textlink="$W$8">
                <xdr:nvSpPr>
                  <xdr:cNvPr id="532" name="Rectángulo 531">
                    <a:extLst>
                      <a:ext uri="{FF2B5EF4-FFF2-40B4-BE49-F238E27FC236}">
                        <a16:creationId xmlns:a16="http://schemas.microsoft.com/office/drawing/2014/main" id="{00000000-0008-0000-0A00-000014020000}"/>
                      </a:ext>
                    </a:extLst>
                  </xdr:cNvPr>
                  <xdr:cNvSpPr/>
                </xdr:nvSpPr>
                <xdr:spPr>
                  <a:xfrm>
                    <a:off x="19354359"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0DC61AD-423E-4F41-9802-80AE0BD735AA}"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K$8">
                <xdr:nvSpPr>
                  <xdr:cNvPr id="533" name="Rectángulo 532">
                    <a:extLst>
                      <a:ext uri="{FF2B5EF4-FFF2-40B4-BE49-F238E27FC236}">
                        <a16:creationId xmlns:a16="http://schemas.microsoft.com/office/drawing/2014/main" id="{00000000-0008-0000-0A00-000015020000}"/>
                      </a:ext>
                    </a:extLst>
                  </xdr:cNvPr>
                  <xdr:cNvSpPr/>
                </xdr:nvSpPr>
                <xdr:spPr>
                  <a:xfrm>
                    <a:off x="19649014"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4224BC8-A84E-4CC7-9402-4E91CABD00F0}"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
                <xdr:nvSpPr>
                  <xdr:cNvPr id="534" name="CuadroTexto 533">
                    <a:extLst>
                      <a:ext uri="{FF2B5EF4-FFF2-40B4-BE49-F238E27FC236}">
                        <a16:creationId xmlns:a16="http://schemas.microsoft.com/office/drawing/2014/main" id="{00000000-0008-0000-0A00-000016020000}"/>
                      </a:ext>
                    </a:extLst>
                  </xdr:cNvPr>
                  <xdr:cNvSpPr txBox="1"/>
                </xdr:nvSpPr>
                <xdr:spPr>
                  <a:xfrm>
                    <a:off x="19306363" y="12657871"/>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87" name="Grupo 586">
                <a:extLst>
                  <a:ext uri="{FF2B5EF4-FFF2-40B4-BE49-F238E27FC236}">
                    <a16:creationId xmlns:a16="http://schemas.microsoft.com/office/drawing/2014/main" id="{00000000-0008-0000-0A00-00004B020000}"/>
                  </a:ext>
                </a:extLst>
              </xdr:cNvPr>
              <xdr:cNvGrpSpPr/>
            </xdr:nvGrpSpPr>
            <xdr:grpSpPr>
              <a:xfrm>
                <a:off x="20055895" y="12043791"/>
                <a:ext cx="2623053" cy="750638"/>
                <a:chOff x="20055895" y="12043791"/>
                <a:chExt cx="2623053" cy="750638"/>
              </a:xfrm>
            </xdr:grpSpPr>
            <xdr:grpSp>
              <xdr:nvGrpSpPr>
                <xdr:cNvPr id="237" name="Grupo 236">
                  <a:extLst>
                    <a:ext uri="{FF2B5EF4-FFF2-40B4-BE49-F238E27FC236}">
                      <a16:creationId xmlns:a16="http://schemas.microsoft.com/office/drawing/2014/main" id="{00000000-0008-0000-0A00-0000ED000000}"/>
                    </a:ext>
                  </a:extLst>
                </xdr:cNvPr>
                <xdr:cNvGrpSpPr/>
              </xdr:nvGrpSpPr>
              <xdr:grpSpPr>
                <a:xfrm>
                  <a:off x="20055895" y="12043791"/>
                  <a:ext cx="2623053" cy="734845"/>
                  <a:chOff x="28468627" y="2081892"/>
                  <a:chExt cx="2433638" cy="585107"/>
                </a:xfrm>
              </xdr:grpSpPr>
              <xdr:sp macro="" textlink="">
                <xdr:nvSpPr>
                  <xdr:cNvPr id="238" name="Cheurón 237">
                    <a:extLst>
                      <a:ext uri="{FF2B5EF4-FFF2-40B4-BE49-F238E27FC236}">
                        <a16:creationId xmlns:a16="http://schemas.microsoft.com/office/drawing/2014/main" id="{00000000-0008-0000-0A00-0000EE00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39" name="CuadroTexto 238">
                    <a:extLst>
                      <a:ext uri="{FF2B5EF4-FFF2-40B4-BE49-F238E27FC236}">
                        <a16:creationId xmlns:a16="http://schemas.microsoft.com/office/drawing/2014/main" id="{00000000-0008-0000-0A00-0000EF000000}"/>
                      </a:ext>
                    </a:extLst>
                  </xdr:cNvPr>
                  <xdr:cNvSpPr txBox="1"/>
                </xdr:nvSpPr>
                <xdr:spPr>
                  <a:xfrm>
                    <a:off x="28782571"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X$9">
                <xdr:nvSpPr>
                  <xdr:cNvPr id="240" name="Rectángulo redondeado 239">
                    <a:extLst>
                      <a:ext uri="{FF2B5EF4-FFF2-40B4-BE49-F238E27FC236}">
                        <a16:creationId xmlns:a16="http://schemas.microsoft.com/office/drawing/2014/main" id="{00000000-0008-0000-0A00-0000F0000000}"/>
                      </a:ext>
                    </a:extLst>
                  </xdr:cNvPr>
                  <xdr:cNvSpPr/>
                </xdr:nvSpPr>
                <xdr:spPr>
                  <a:xfrm>
                    <a:off x="30000728"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2DE47A-E9F6-4335-9C10-C7DE47AA3C92}" type="TxLink">
                      <a:rPr lang="en-US" sz="1600" b="1" i="0" u="none" strike="noStrike">
                        <a:solidFill>
                          <a:srgbClr val="FFFF00"/>
                        </a:solidFill>
                        <a:latin typeface="Century Gothic"/>
                      </a:rPr>
                      <a:pPr algn="ctr"/>
                      <a:t>9,1%</a:t>
                    </a:fld>
                    <a:endParaRPr lang="es-CO" sz="2000">
                      <a:solidFill>
                        <a:srgbClr val="FFFF00"/>
                      </a:solidFill>
                    </a:endParaRPr>
                  </a:p>
                </xdr:txBody>
              </xdr:sp>
            </xdr:grpSp>
            <xdr:grpSp>
              <xdr:nvGrpSpPr>
                <xdr:cNvPr id="579" name="Grupo 578">
                  <a:extLst>
                    <a:ext uri="{FF2B5EF4-FFF2-40B4-BE49-F238E27FC236}">
                      <a16:creationId xmlns:a16="http://schemas.microsoft.com/office/drawing/2014/main" id="{00000000-0008-0000-0A00-000043020000}"/>
                    </a:ext>
                  </a:extLst>
                </xdr:cNvPr>
                <xdr:cNvGrpSpPr/>
              </xdr:nvGrpSpPr>
              <xdr:grpSpPr>
                <a:xfrm>
                  <a:off x="21739503" y="12503193"/>
                  <a:ext cx="825527" cy="291236"/>
                  <a:chOff x="21739503" y="12716750"/>
                  <a:chExt cx="825527" cy="291236"/>
                </a:xfrm>
              </xdr:grpSpPr>
              <xdr:sp macro="" textlink="$W$9">
                <xdr:nvSpPr>
                  <xdr:cNvPr id="535" name="Rectángulo 534">
                    <a:extLst>
                      <a:ext uri="{FF2B5EF4-FFF2-40B4-BE49-F238E27FC236}">
                        <a16:creationId xmlns:a16="http://schemas.microsoft.com/office/drawing/2014/main" id="{00000000-0008-0000-0A00-000017020000}"/>
                      </a:ext>
                    </a:extLst>
                  </xdr:cNvPr>
                  <xdr:cNvSpPr/>
                </xdr:nvSpPr>
                <xdr:spPr>
                  <a:xfrm>
                    <a:off x="21787499" y="12728421"/>
                    <a:ext cx="429527"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9DB3305-465B-413C-B3CE-C879BB8C0A15}"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K$9">
                <xdr:nvSpPr>
                  <xdr:cNvPr id="536" name="Rectángulo 535">
                    <a:extLst>
                      <a:ext uri="{FF2B5EF4-FFF2-40B4-BE49-F238E27FC236}">
                        <a16:creationId xmlns:a16="http://schemas.microsoft.com/office/drawing/2014/main" id="{00000000-0008-0000-0A00-000018020000}"/>
                      </a:ext>
                    </a:extLst>
                  </xdr:cNvPr>
                  <xdr:cNvSpPr/>
                </xdr:nvSpPr>
                <xdr:spPr>
                  <a:xfrm>
                    <a:off x="22079681" y="12728421"/>
                    <a:ext cx="422475"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717E7E2-A6FC-45DE-B762-033F705E15AD}" type="TxLink">
                      <a:rPr lang="en-US" sz="1100" b="1" i="0" u="none" strike="noStrike">
                        <a:solidFill>
                          <a:srgbClr val="FFFF00"/>
                        </a:solidFill>
                        <a:latin typeface="Century Gothic"/>
                      </a:rPr>
                      <a:pPr algn="ctr"/>
                      <a:t>22</a:t>
                    </a:fld>
                    <a:endParaRPr lang="es-CO" sz="1100" b="1">
                      <a:solidFill>
                        <a:srgbClr val="FFFF00"/>
                      </a:solidFill>
                    </a:endParaRPr>
                  </a:p>
                </xdr:txBody>
              </xdr:sp>
              <xdr:sp macro="" textlink="">
                <xdr:nvSpPr>
                  <xdr:cNvPr id="537" name="CuadroTexto 536">
                    <a:extLst>
                      <a:ext uri="{FF2B5EF4-FFF2-40B4-BE49-F238E27FC236}">
                        <a16:creationId xmlns:a16="http://schemas.microsoft.com/office/drawing/2014/main" id="{00000000-0008-0000-0A00-000019020000}"/>
                      </a:ext>
                    </a:extLst>
                  </xdr:cNvPr>
                  <xdr:cNvSpPr txBox="1"/>
                </xdr:nvSpPr>
                <xdr:spPr>
                  <a:xfrm>
                    <a:off x="21739503" y="12716750"/>
                    <a:ext cx="825527"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grpSp>
          <xdr:nvGrpSpPr>
            <xdr:cNvPr id="664" name="Grupo 663">
              <a:extLst>
                <a:ext uri="{FF2B5EF4-FFF2-40B4-BE49-F238E27FC236}">
                  <a16:creationId xmlns:a16="http://schemas.microsoft.com/office/drawing/2014/main" id="{00000000-0008-0000-0A00-000098020000}"/>
                </a:ext>
              </a:extLst>
            </xdr:cNvPr>
            <xdr:cNvGrpSpPr/>
          </xdr:nvGrpSpPr>
          <xdr:grpSpPr>
            <a:xfrm>
              <a:off x="12028652" y="12137153"/>
              <a:ext cx="10748820" cy="1556225"/>
              <a:chOff x="11993671" y="13258030"/>
              <a:chExt cx="10718416" cy="1543431"/>
            </a:xfrm>
          </xdr:grpSpPr>
          <xdr:grpSp>
            <xdr:nvGrpSpPr>
              <xdr:cNvPr id="654" name="Grupo 653">
                <a:extLst>
                  <a:ext uri="{FF2B5EF4-FFF2-40B4-BE49-F238E27FC236}">
                    <a16:creationId xmlns:a16="http://schemas.microsoft.com/office/drawing/2014/main" id="{00000000-0008-0000-0A00-00008E020000}"/>
                  </a:ext>
                </a:extLst>
              </xdr:cNvPr>
              <xdr:cNvGrpSpPr/>
            </xdr:nvGrpSpPr>
            <xdr:grpSpPr>
              <a:xfrm>
                <a:off x="12802141" y="13263561"/>
                <a:ext cx="2157046" cy="759759"/>
                <a:chOff x="12802141" y="13263561"/>
                <a:chExt cx="2157046" cy="759759"/>
              </a:xfrm>
            </xdr:grpSpPr>
            <xdr:grpSp>
              <xdr:nvGrpSpPr>
                <xdr:cNvPr id="252" name="Grupo 251">
                  <a:extLst>
                    <a:ext uri="{FF2B5EF4-FFF2-40B4-BE49-F238E27FC236}">
                      <a16:creationId xmlns:a16="http://schemas.microsoft.com/office/drawing/2014/main" id="{00000000-0008-0000-0A00-0000FC000000}"/>
                    </a:ext>
                  </a:extLst>
                </xdr:cNvPr>
                <xdr:cNvGrpSpPr/>
              </xdr:nvGrpSpPr>
              <xdr:grpSpPr>
                <a:xfrm>
                  <a:off x="12802141" y="13263561"/>
                  <a:ext cx="2157046" cy="732326"/>
                  <a:chOff x="28686311" y="2081892"/>
                  <a:chExt cx="2000250" cy="585107"/>
                </a:xfrm>
              </xdr:grpSpPr>
              <xdr:sp macro="" textlink="">
                <xdr:nvSpPr>
                  <xdr:cNvPr id="292" name="Cheurón 291">
                    <a:extLst>
                      <a:ext uri="{FF2B5EF4-FFF2-40B4-BE49-F238E27FC236}">
                        <a16:creationId xmlns:a16="http://schemas.microsoft.com/office/drawing/2014/main" id="{00000000-0008-0000-0A00-000024010000}"/>
                      </a:ext>
                    </a:extLst>
                  </xdr:cNvPr>
                  <xdr:cNvSpPr/>
                </xdr:nvSpPr>
                <xdr:spPr>
                  <a:xfrm>
                    <a:off x="2868631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93" name="CuadroTexto 292">
                    <a:extLst>
                      <a:ext uri="{FF2B5EF4-FFF2-40B4-BE49-F238E27FC236}">
                        <a16:creationId xmlns:a16="http://schemas.microsoft.com/office/drawing/2014/main" id="{00000000-0008-0000-0A00-000025010000}"/>
                      </a:ext>
                    </a:extLst>
                  </xdr:cNvPr>
                  <xdr:cNvSpPr txBox="1"/>
                </xdr:nvSpPr>
                <xdr:spPr>
                  <a:xfrm>
                    <a:off x="28878836" y="2159695"/>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X$10">
                <xdr:nvSpPr>
                  <xdr:cNvPr id="294" name="Rectángulo redondeado 293">
                    <a:extLst>
                      <a:ext uri="{FF2B5EF4-FFF2-40B4-BE49-F238E27FC236}">
                        <a16:creationId xmlns:a16="http://schemas.microsoft.com/office/drawing/2014/main" id="{00000000-0008-0000-0A00-000026010000}"/>
                      </a:ext>
                    </a:extLst>
                  </xdr:cNvPr>
                  <xdr:cNvSpPr/>
                </xdr:nvSpPr>
                <xdr:spPr>
                  <a:xfrm>
                    <a:off x="29808259" y="217277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4D29262-067F-47B6-AD49-B50B6129928F}" type="TxLink">
                      <a:rPr lang="en-US" sz="1600" b="1" i="0" u="none" strike="noStrike">
                        <a:solidFill>
                          <a:srgbClr val="FFFF00"/>
                        </a:solidFill>
                        <a:latin typeface="Century Gothic"/>
                      </a:rPr>
                      <a:pPr algn="ctr"/>
                      <a:t>20,0%</a:t>
                    </a:fld>
                    <a:endParaRPr lang="es-CO" sz="2000">
                      <a:solidFill>
                        <a:srgbClr val="FFFF00"/>
                      </a:solidFill>
                    </a:endParaRPr>
                  </a:p>
                </xdr:txBody>
              </xdr:sp>
            </xdr:grpSp>
            <xdr:grpSp>
              <xdr:nvGrpSpPr>
                <xdr:cNvPr id="589" name="Grupo 588">
                  <a:extLst>
                    <a:ext uri="{FF2B5EF4-FFF2-40B4-BE49-F238E27FC236}">
                      <a16:creationId xmlns:a16="http://schemas.microsoft.com/office/drawing/2014/main" id="{00000000-0008-0000-0A00-00004D020000}"/>
                    </a:ext>
                  </a:extLst>
                </xdr:cNvPr>
                <xdr:cNvGrpSpPr/>
              </xdr:nvGrpSpPr>
              <xdr:grpSpPr>
                <a:xfrm>
                  <a:off x="14002235" y="13732084"/>
                  <a:ext cx="828000" cy="291236"/>
                  <a:chOff x="14028212" y="13844651"/>
                  <a:chExt cx="828000" cy="291236"/>
                </a:xfrm>
              </xdr:grpSpPr>
              <xdr:sp macro="" textlink="$W$10">
                <xdr:nvSpPr>
                  <xdr:cNvPr id="538" name="Rectángulo 537">
                    <a:extLst>
                      <a:ext uri="{FF2B5EF4-FFF2-40B4-BE49-F238E27FC236}">
                        <a16:creationId xmlns:a16="http://schemas.microsoft.com/office/drawing/2014/main" id="{00000000-0008-0000-0A00-00001A020000}"/>
                      </a:ext>
                    </a:extLst>
                  </xdr:cNvPr>
                  <xdr:cNvSpPr/>
                </xdr:nvSpPr>
                <xdr:spPr>
                  <a:xfrm>
                    <a:off x="14084867" y="1386003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6A4229-9C9C-4597-8145-E6FCA2C547B7}"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K$10">
                <xdr:nvSpPr>
                  <xdr:cNvPr id="539" name="Rectángulo 538">
                    <a:extLst>
                      <a:ext uri="{FF2B5EF4-FFF2-40B4-BE49-F238E27FC236}">
                        <a16:creationId xmlns:a16="http://schemas.microsoft.com/office/drawing/2014/main" id="{00000000-0008-0000-0A00-00001B020000}"/>
                      </a:ext>
                    </a:extLst>
                  </xdr:cNvPr>
                  <xdr:cNvSpPr/>
                </xdr:nvSpPr>
                <xdr:spPr>
                  <a:xfrm>
                    <a:off x="14362204" y="1386003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A6F430-B0B9-4FB4-BB29-628E2AFDEFAA}" type="TxLink">
                      <a:rPr lang="en-US" sz="1100" b="1" i="0" u="none" strike="noStrike">
                        <a:solidFill>
                          <a:srgbClr val="FFFF00"/>
                        </a:solidFill>
                        <a:latin typeface="Century Gothic"/>
                      </a:rPr>
                      <a:pPr algn="ctr"/>
                      <a:t>15</a:t>
                    </a:fld>
                    <a:endParaRPr lang="es-CO" sz="1100" b="1">
                      <a:solidFill>
                        <a:srgbClr val="FFFF00"/>
                      </a:solidFill>
                    </a:endParaRPr>
                  </a:p>
                </xdr:txBody>
              </xdr:sp>
              <xdr:sp macro="" textlink="">
                <xdr:nvSpPr>
                  <xdr:cNvPr id="540" name="CuadroTexto 539">
                    <a:extLst>
                      <a:ext uri="{FF2B5EF4-FFF2-40B4-BE49-F238E27FC236}">
                        <a16:creationId xmlns:a16="http://schemas.microsoft.com/office/drawing/2014/main" id="{00000000-0008-0000-0A00-00001C020000}"/>
                      </a:ext>
                    </a:extLst>
                  </xdr:cNvPr>
                  <xdr:cNvSpPr txBox="1"/>
                </xdr:nvSpPr>
                <xdr:spPr>
                  <a:xfrm>
                    <a:off x="14028212" y="13844651"/>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55" name="Grupo 654">
                <a:extLst>
                  <a:ext uri="{FF2B5EF4-FFF2-40B4-BE49-F238E27FC236}">
                    <a16:creationId xmlns:a16="http://schemas.microsoft.com/office/drawing/2014/main" id="{00000000-0008-0000-0A00-00008F020000}"/>
                  </a:ext>
                </a:extLst>
              </xdr:cNvPr>
              <xdr:cNvGrpSpPr/>
            </xdr:nvGrpSpPr>
            <xdr:grpSpPr>
              <a:xfrm>
                <a:off x="14744310" y="13266331"/>
                <a:ext cx="2157048" cy="754021"/>
                <a:chOff x="14744310" y="13266331"/>
                <a:chExt cx="2157048" cy="754021"/>
              </a:xfrm>
            </xdr:grpSpPr>
            <xdr:grpSp>
              <xdr:nvGrpSpPr>
                <xdr:cNvPr id="253" name="Grupo 252">
                  <a:extLst>
                    <a:ext uri="{FF2B5EF4-FFF2-40B4-BE49-F238E27FC236}">
                      <a16:creationId xmlns:a16="http://schemas.microsoft.com/office/drawing/2014/main" id="{00000000-0008-0000-0A00-0000FD000000}"/>
                    </a:ext>
                  </a:extLst>
                </xdr:cNvPr>
                <xdr:cNvGrpSpPr/>
              </xdr:nvGrpSpPr>
              <xdr:grpSpPr>
                <a:xfrm>
                  <a:off x="14744310" y="13266331"/>
                  <a:ext cx="2157048" cy="732326"/>
                  <a:chOff x="28670251" y="2081892"/>
                  <a:chExt cx="2000250" cy="585107"/>
                </a:xfrm>
              </xdr:grpSpPr>
              <xdr:sp macro="" textlink="">
                <xdr:nvSpPr>
                  <xdr:cNvPr id="289" name="Cheurón 288">
                    <a:extLst>
                      <a:ext uri="{FF2B5EF4-FFF2-40B4-BE49-F238E27FC236}">
                        <a16:creationId xmlns:a16="http://schemas.microsoft.com/office/drawing/2014/main" id="{00000000-0008-0000-0A00-000021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90" name="CuadroTexto 289">
                    <a:extLst>
                      <a:ext uri="{FF2B5EF4-FFF2-40B4-BE49-F238E27FC236}">
                        <a16:creationId xmlns:a16="http://schemas.microsoft.com/office/drawing/2014/main" id="{00000000-0008-0000-0A00-000022010000}"/>
                      </a:ext>
                    </a:extLst>
                  </xdr:cNvPr>
                  <xdr:cNvSpPr txBox="1"/>
                </xdr:nvSpPr>
                <xdr:spPr>
                  <a:xfrm>
                    <a:off x="28867685" y="2166613"/>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X$11">
                <xdr:nvSpPr>
                  <xdr:cNvPr id="291" name="Rectángulo redondeado 290">
                    <a:extLst>
                      <a:ext uri="{FF2B5EF4-FFF2-40B4-BE49-F238E27FC236}">
                        <a16:creationId xmlns:a16="http://schemas.microsoft.com/office/drawing/2014/main" id="{00000000-0008-0000-0A00-000023010000}"/>
                      </a:ext>
                    </a:extLst>
                  </xdr:cNvPr>
                  <xdr:cNvSpPr/>
                </xdr:nvSpPr>
                <xdr:spPr>
                  <a:xfrm>
                    <a:off x="29779599"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54A2D8-3750-4A5F-A428-18DA045958AF}" type="TxLink">
                      <a:rPr lang="en-US" sz="1600" b="1" i="0" u="none" strike="noStrike">
                        <a:solidFill>
                          <a:srgbClr val="FFFF00"/>
                        </a:solidFill>
                        <a:latin typeface="Century Gothic"/>
                      </a:rPr>
                      <a:pPr algn="ctr"/>
                      <a:t>66,7%</a:t>
                    </a:fld>
                    <a:endParaRPr lang="es-CO" sz="2400">
                      <a:solidFill>
                        <a:srgbClr val="FFFF00"/>
                      </a:solidFill>
                    </a:endParaRPr>
                  </a:p>
                </xdr:txBody>
              </xdr:sp>
            </xdr:grpSp>
            <xdr:grpSp>
              <xdr:nvGrpSpPr>
                <xdr:cNvPr id="590" name="Grupo 589">
                  <a:extLst>
                    <a:ext uri="{FF2B5EF4-FFF2-40B4-BE49-F238E27FC236}">
                      <a16:creationId xmlns:a16="http://schemas.microsoft.com/office/drawing/2014/main" id="{00000000-0008-0000-0A00-00004E020000}"/>
                    </a:ext>
                  </a:extLst>
                </xdr:cNvPr>
                <xdr:cNvGrpSpPr/>
              </xdr:nvGrpSpPr>
              <xdr:grpSpPr>
                <a:xfrm>
                  <a:off x="15935931" y="13737775"/>
                  <a:ext cx="828000" cy="282577"/>
                  <a:chOff x="16013862" y="13850342"/>
                  <a:chExt cx="828000" cy="282577"/>
                </a:xfrm>
              </xdr:grpSpPr>
              <xdr:sp macro="" textlink="$W$11">
                <xdr:nvSpPr>
                  <xdr:cNvPr id="541" name="Rectángulo 540">
                    <a:extLst>
                      <a:ext uri="{FF2B5EF4-FFF2-40B4-BE49-F238E27FC236}">
                        <a16:creationId xmlns:a16="http://schemas.microsoft.com/office/drawing/2014/main" id="{00000000-0008-0000-0A00-00001D020000}"/>
                      </a:ext>
                    </a:extLst>
                  </xdr:cNvPr>
                  <xdr:cNvSpPr/>
                </xdr:nvSpPr>
                <xdr:spPr>
                  <a:xfrm>
                    <a:off x="16070517" y="13857065"/>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EAFE0EF-3CDD-41F9-B8FC-D90C684D3483}"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K$11">
                <xdr:nvSpPr>
                  <xdr:cNvPr id="542" name="Rectángulo 541">
                    <a:extLst>
                      <a:ext uri="{FF2B5EF4-FFF2-40B4-BE49-F238E27FC236}">
                        <a16:creationId xmlns:a16="http://schemas.microsoft.com/office/drawing/2014/main" id="{00000000-0008-0000-0A00-00001E020000}"/>
                      </a:ext>
                    </a:extLst>
                  </xdr:cNvPr>
                  <xdr:cNvSpPr/>
                </xdr:nvSpPr>
                <xdr:spPr>
                  <a:xfrm>
                    <a:off x="16365172" y="13857065"/>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E38CC8-3019-427A-9971-513FF790D8D3}"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
                <xdr:nvSpPr>
                  <xdr:cNvPr id="543" name="CuadroTexto 542">
                    <a:extLst>
                      <a:ext uri="{FF2B5EF4-FFF2-40B4-BE49-F238E27FC236}">
                        <a16:creationId xmlns:a16="http://schemas.microsoft.com/office/drawing/2014/main" id="{00000000-0008-0000-0A00-00001F020000}"/>
                      </a:ext>
                    </a:extLst>
                  </xdr:cNvPr>
                  <xdr:cNvSpPr txBox="1"/>
                </xdr:nvSpPr>
                <xdr:spPr>
                  <a:xfrm>
                    <a:off x="16013862" y="13850342"/>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56" name="Grupo 655">
                <a:extLst>
                  <a:ext uri="{FF2B5EF4-FFF2-40B4-BE49-F238E27FC236}">
                    <a16:creationId xmlns:a16="http://schemas.microsoft.com/office/drawing/2014/main" id="{00000000-0008-0000-0A00-000090020000}"/>
                  </a:ext>
                </a:extLst>
              </xdr:cNvPr>
              <xdr:cNvGrpSpPr/>
            </xdr:nvGrpSpPr>
            <xdr:grpSpPr>
              <a:xfrm>
                <a:off x="16703763" y="13269100"/>
                <a:ext cx="2157047" cy="752614"/>
                <a:chOff x="16703763" y="13269100"/>
                <a:chExt cx="2157047" cy="752614"/>
              </a:xfrm>
            </xdr:grpSpPr>
            <xdr:grpSp>
              <xdr:nvGrpSpPr>
                <xdr:cNvPr id="254" name="Grupo 253">
                  <a:extLst>
                    <a:ext uri="{FF2B5EF4-FFF2-40B4-BE49-F238E27FC236}">
                      <a16:creationId xmlns:a16="http://schemas.microsoft.com/office/drawing/2014/main" id="{00000000-0008-0000-0A00-0000FE000000}"/>
                    </a:ext>
                  </a:extLst>
                </xdr:cNvPr>
                <xdr:cNvGrpSpPr/>
              </xdr:nvGrpSpPr>
              <xdr:grpSpPr>
                <a:xfrm>
                  <a:off x="16703763" y="13269100"/>
                  <a:ext cx="2157047" cy="732326"/>
                  <a:chOff x="28670251" y="2081892"/>
                  <a:chExt cx="2000250" cy="585107"/>
                </a:xfrm>
              </xdr:grpSpPr>
              <xdr:sp macro="" textlink="">
                <xdr:nvSpPr>
                  <xdr:cNvPr id="286" name="Cheurón 285">
                    <a:extLst>
                      <a:ext uri="{FF2B5EF4-FFF2-40B4-BE49-F238E27FC236}">
                        <a16:creationId xmlns:a16="http://schemas.microsoft.com/office/drawing/2014/main" id="{00000000-0008-0000-0A00-00001E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87" name="CuadroTexto 286">
                    <a:extLst>
                      <a:ext uri="{FF2B5EF4-FFF2-40B4-BE49-F238E27FC236}">
                        <a16:creationId xmlns:a16="http://schemas.microsoft.com/office/drawing/2014/main" id="{00000000-0008-0000-0A00-00001F010000}"/>
                      </a:ext>
                    </a:extLst>
                  </xdr:cNvPr>
                  <xdr:cNvSpPr txBox="1"/>
                </xdr:nvSpPr>
                <xdr:spPr>
                  <a:xfrm>
                    <a:off x="28872820" y="2159695"/>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X$12">
                <xdr:nvSpPr>
                  <xdr:cNvPr id="288" name="Rectángulo redondeado 287">
                    <a:extLst>
                      <a:ext uri="{FF2B5EF4-FFF2-40B4-BE49-F238E27FC236}">
                        <a16:creationId xmlns:a16="http://schemas.microsoft.com/office/drawing/2014/main" id="{00000000-0008-0000-0A00-000020010000}"/>
                      </a:ext>
                    </a:extLst>
                  </xdr:cNvPr>
                  <xdr:cNvSpPr/>
                </xdr:nvSpPr>
                <xdr:spPr>
                  <a:xfrm>
                    <a:off x="29784173"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051F927-3B12-48F1-A3BE-D947120F6982}" type="TxLink">
                      <a:rPr lang="en-US" sz="1600" b="1" i="0" u="none" strike="noStrike">
                        <a:solidFill>
                          <a:srgbClr val="FFFF00"/>
                        </a:solidFill>
                        <a:latin typeface="Century Gothic"/>
                      </a:rPr>
                      <a:pPr algn="ctr"/>
                      <a:t>30,8%</a:t>
                    </a:fld>
                    <a:endParaRPr lang="es-CO" sz="2400">
                      <a:solidFill>
                        <a:srgbClr val="FFFF00"/>
                      </a:solidFill>
                    </a:endParaRPr>
                  </a:p>
                </xdr:txBody>
              </xdr:sp>
            </xdr:grpSp>
            <xdr:grpSp>
              <xdr:nvGrpSpPr>
                <xdr:cNvPr id="591" name="Grupo 590">
                  <a:extLst>
                    <a:ext uri="{FF2B5EF4-FFF2-40B4-BE49-F238E27FC236}">
                      <a16:creationId xmlns:a16="http://schemas.microsoft.com/office/drawing/2014/main" id="{00000000-0008-0000-0A00-00004F020000}"/>
                    </a:ext>
                  </a:extLst>
                </xdr:cNvPr>
                <xdr:cNvGrpSpPr/>
              </xdr:nvGrpSpPr>
              <xdr:grpSpPr>
                <a:xfrm>
                  <a:off x="17898080" y="13739137"/>
                  <a:ext cx="828000" cy="282577"/>
                  <a:chOff x="17993329" y="13851704"/>
                  <a:chExt cx="828000" cy="282577"/>
                </a:xfrm>
              </xdr:grpSpPr>
              <xdr:sp macro="" textlink="$W$12">
                <xdr:nvSpPr>
                  <xdr:cNvPr id="544" name="Rectángulo 543">
                    <a:extLst>
                      <a:ext uri="{FF2B5EF4-FFF2-40B4-BE49-F238E27FC236}">
                        <a16:creationId xmlns:a16="http://schemas.microsoft.com/office/drawing/2014/main" id="{00000000-0008-0000-0A00-000020020000}"/>
                      </a:ext>
                    </a:extLst>
                  </xdr:cNvPr>
                  <xdr:cNvSpPr/>
                </xdr:nvSpPr>
                <xdr:spPr>
                  <a:xfrm>
                    <a:off x="18032666" y="1385842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D5895A2-D268-4C1B-9262-0E77DA109EE5}"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K$12">
                <xdr:nvSpPr>
                  <xdr:cNvPr id="545" name="Rectángulo 544">
                    <a:extLst>
                      <a:ext uri="{FF2B5EF4-FFF2-40B4-BE49-F238E27FC236}">
                        <a16:creationId xmlns:a16="http://schemas.microsoft.com/office/drawing/2014/main" id="{00000000-0008-0000-0A00-000021020000}"/>
                      </a:ext>
                    </a:extLst>
                  </xdr:cNvPr>
                  <xdr:cNvSpPr/>
                </xdr:nvSpPr>
                <xdr:spPr>
                  <a:xfrm>
                    <a:off x="18327321" y="1385842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7BDD045-B982-4B6B-B1AB-57A04DA7679D}"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546" name="CuadroTexto 545">
                    <a:extLst>
                      <a:ext uri="{FF2B5EF4-FFF2-40B4-BE49-F238E27FC236}">
                        <a16:creationId xmlns:a16="http://schemas.microsoft.com/office/drawing/2014/main" id="{00000000-0008-0000-0A00-000022020000}"/>
                      </a:ext>
                    </a:extLst>
                  </xdr:cNvPr>
                  <xdr:cNvSpPr txBox="1"/>
                </xdr:nvSpPr>
                <xdr:spPr>
                  <a:xfrm>
                    <a:off x="17993329" y="13851704"/>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57" name="Grupo 656">
                <a:extLst>
                  <a:ext uri="{FF2B5EF4-FFF2-40B4-BE49-F238E27FC236}">
                    <a16:creationId xmlns:a16="http://schemas.microsoft.com/office/drawing/2014/main" id="{00000000-0008-0000-0A00-000091020000}"/>
                  </a:ext>
                </a:extLst>
              </xdr:cNvPr>
              <xdr:cNvGrpSpPr/>
            </xdr:nvGrpSpPr>
            <xdr:grpSpPr>
              <a:xfrm>
                <a:off x="18649578" y="13258030"/>
                <a:ext cx="2140161" cy="771849"/>
                <a:chOff x="18649578" y="13258030"/>
                <a:chExt cx="2140161" cy="771849"/>
              </a:xfrm>
            </xdr:grpSpPr>
            <xdr:grpSp>
              <xdr:nvGrpSpPr>
                <xdr:cNvPr id="255" name="Grupo 254">
                  <a:extLst>
                    <a:ext uri="{FF2B5EF4-FFF2-40B4-BE49-F238E27FC236}">
                      <a16:creationId xmlns:a16="http://schemas.microsoft.com/office/drawing/2014/main" id="{00000000-0008-0000-0A00-0000FF000000}"/>
                    </a:ext>
                  </a:extLst>
                </xdr:cNvPr>
                <xdr:cNvGrpSpPr/>
              </xdr:nvGrpSpPr>
              <xdr:grpSpPr>
                <a:xfrm>
                  <a:off x="18649578" y="13258030"/>
                  <a:ext cx="2140161" cy="732326"/>
                  <a:chOff x="28670251" y="2081892"/>
                  <a:chExt cx="2025093" cy="585107"/>
                </a:xfrm>
              </xdr:grpSpPr>
              <xdr:sp macro="" textlink="">
                <xdr:nvSpPr>
                  <xdr:cNvPr id="283" name="Cheurón 282">
                    <a:extLst>
                      <a:ext uri="{FF2B5EF4-FFF2-40B4-BE49-F238E27FC236}">
                        <a16:creationId xmlns:a16="http://schemas.microsoft.com/office/drawing/2014/main" id="{00000000-0008-0000-0A00-00001B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84" name="CuadroTexto 283">
                    <a:extLst>
                      <a:ext uri="{FF2B5EF4-FFF2-40B4-BE49-F238E27FC236}">
                        <a16:creationId xmlns:a16="http://schemas.microsoft.com/office/drawing/2014/main" id="{00000000-0008-0000-0A00-00001C010000}"/>
                      </a:ext>
                    </a:extLst>
                  </xdr:cNvPr>
                  <xdr:cNvSpPr txBox="1"/>
                </xdr:nvSpPr>
                <xdr:spPr>
                  <a:xfrm>
                    <a:off x="28759318" y="2166613"/>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X$13">
                <xdr:nvSpPr>
                  <xdr:cNvPr id="285" name="Rectángulo redondeado 284">
                    <a:extLst>
                      <a:ext uri="{FF2B5EF4-FFF2-40B4-BE49-F238E27FC236}">
                        <a16:creationId xmlns:a16="http://schemas.microsoft.com/office/drawing/2014/main" id="{00000000-0008-0000-0A00-00001D010000}"/>
                      </a:ext>
                    </a:extLst>
                  </xdr:cNvPr>
                  <xdr:cNvSpPr/>
                </xdr:nvSpPr>
                <xdr:spPr>
                  <a:xfrm>
                    <a:off x="29810881" y="2176914"/>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2342E4-25D1-4010-A4B3-4A5FC635A550}"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592" name="Grupo 591">
                  <a:extLst>
                    <a:ext uri="{FF2B5EF4-FFF2-40B4-BE49-F238E27FC236}">
                      <a16:creationId xmlns:a16="http://schemas.microsoft.com/office/drawing/2014/main" id="{00000000-0008-0000-0A00-000050020000}"/>
                    </a:ext>
                  </a:extLst>
                </xdr:cNvPr>
                <xdr:cNvGrpSpPr/>
              </xdr:nvGrpSpPr>
              <xdr:grpSpPr>
                <a:xfrm>
                  <a:off x="19802083" y="13747302"/>
                  <a:ext cx="825525" cy="282577"/>
                  <a:chOff x="19905991" y="13859869"/>
                  <a:chExt cx="825525" cy="282577"/>
                </a:xfrm>
              </xdr:grpSpPr>
              <xdr:sp macro="" textlink="">
                <xdr:nvSpPr>
                  <xdr:cNvPr id="549" name="CuadroTexto 548">
                    <a:extLst>
                      <a:ext uri="{FF2B5EF4-FFF2-40B4-BE49-F238E27FC236}">
                        <a16:creationId xmlns:a16="http://schemas.microsoft.com/office/drawing/2014/main" id="{00000000-0008-0000-0A00-000025020000}"/>
                      </a:ext>
                    </a:extLst>
                  </xdr:cNvPr>
                  <xdr:cNvSpPr txBox="1"/>
                </xdr:nvSpPr>
                <xdr:spPr>
                  <a:xfrm>
                    <a:off x="19905991" y="1385986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13">
                <xdr:nvSpPr>
                  <xdr:cNvPr id="553" name="Rectángulo 552">
                    <a:extLst>
                      <a:ext uri="{FF2B5EF4-FFF2-40B4-BE49-F238E27FC236}">
                        <a16:creationId xmlns:a16="http://schemas.microsoft.com/office/drawing/2014/main" id="{00000000-0008-0000-0A00-000029020000}"/>
                      </a:ext>
                    </a:extLst>
                  </xdr:cNvPr>
                  <xdr:cNvSpPr/>
                </xdr:nvSpPr>
                <xdr:spPr>
                  <a:xfrm>
                    <a:off x="19958696" y="1386659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00A1535-C3CB-4AC3-A8A6-BF5F851A351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13">
                <xdr:nvSpPr>
                  <xdr:cNvPr id="554" name="Rectángulo 553">
                    <a:extLst>
                      <a:ext uri="{FF2B5EF4-FFF2-40B4-BE49-F238E27FC236}">
                        <a16:creationId xmlns:a16="http://schemas.microsoft.com/office/drawing/2014/main" id="{00000000-0008-0000-0A00-00002A020000}"/>
                      </a:ext>
                    </a:extLst>
                  </xdr:cNvPr>
                  <xdr:cNvSpPr/>
                </xdr:nvSpPr>
                <xdr:spPr>
                  <a:xfrm>
                    <a:off x="20253351" y="1386659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DEFB23-7997-4125-ACA2-5AD283EF8239}" type="TxLink">
                      <a:rPr lang="en-US" sz="1100" b="1" i="0" u="none" strike="noStrike">
                        <a:solidFill>
                          <a:srgbClr val="FFFF00"/>
                        </a:solidFill>
                        <a:latin typeface="Century Gothic"/>
                      </a:rPr>
                      <a:pPr algn="ctr"/>
                      <a:t>17</a:t>
                    </a:fld>
                    <a:endParaRPr lang="es-CO" sz="1100" b="1">
                      <a:solidFill>
                        <a:srgbClr val="FFFF00"/>
                      </a:solidFill>
                    </a:endParaRPr>
                  </a:p>
                </xdr:txBody>
              </xdr:sp>
            </xdr:grpSp>
          </xdr:grpSp>
          <xdr:grpSp>
            <xdr:nvGrpSpPr>
              <xdr:cNvPr id="262" name="Grupo 261">
                <a:extLst>
                  <a:ext uri="{FF2B5EF4-FFF2-40B4-BE49-F238E27FC236}">
                    <a16:creationId xmlns:a16="http://schemas.microsoft.com/office/drawing/2014/main" id="{00000000-0008-0000-0A00-000006010000}"/>
                  </a:ext>
                </a:extLst>
              </xdr:cNvPr>
              <xdr:cNvGrpSpPr/>
            </xdr:nvGrpSpPr>
            <xdr:grpSpPr>
              <a:xfrm>
                <a:off x="11993671" y="13263576"/>
                <a:ext cx="719623" cy="1537885"/>
                <a:chOff x="27415455" y="8354785"/>
                <a:chExt cx="720610" cy="1512000"/>
              </a:xfrm>
            </xdr:grpSpPr>
            <xdr:sp macro="" textlink="">
              <xdr:nvSpPr>
                <xdr:cNvPr id="263" name="Rectángulo 262">
                  <a:extLst>
                    <a:ext uri="{FF2B5EF4-FFF2-40B4-BE49-F238E27FC236}">
                      <a16:creationId xmlns:a16="http://schemas.microsoft.com/office/drawing/2014/main" id="{00000000-0008-0000-0A00-000007010000}"/>
                    </a:ext>
                  </a:extLst>
                </xdr:cNvPr>
                <xdr:cNvSpPr/>
              </xdr:nvSpPr>
              <xdr:spPr>
                <a:xfrm>
                  <a:off x="27415455" y="8354785"/>
                  <a:ext cx="72061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4" name="CuadroTexto 263">
                  <a:extLst>
                    <a:ext uri="{FF2B5EF4-FFF2-40B4-BE49-F238E27FC236}">
                      <a16:creationId xmlns:a16="http://schemas.microsoft.com/office/drawing/2014/main" id="{00000000-0008-0000-0A00-000008010000}"/>
                    </a:ext>
                  </a:extLst>
                </xdr:cNvPr>
                <xdr:cNvSpPr txBox="1"/>
              </xdr:nvSpPr>
              <xdr:spPr>
                <a:xfrm rot="16200000">
                  <a:off x="27161406"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658" name="Grupo 657">
                <a:extLst>
                  <a:ext uri="{FF2B5EF4-FFF2-40B4-BE49-F238E27FC236}">
                    <a16:creationId xmlns:a16="http://schemas.microsoft.com/office/drawing/2014/main" id="{00000000-0008-0000-0A00-000092020000}"/>
                  </a:ext>
                </a:extLst>
              </xdr:cNvPr>
              <xdr:cNvGrpSpPr/>
            </xdr:nvGrpSpPr>
            <xdr:grpSpPr>
              <a:xfrm>
                <a:off x="20554737" y="13260800"/>
                <a:ext cx="2157047" cy="771677"/>
                <a:chOff x="20554737" y="13260800"/>
                <a:chExt cx="2157047" cy="771677"/>
              </a:xfrm>
            </xdr:grpSpPr>
            <xdr:grpSp>
              <xdr:nvGrpSpPr>
                <xdr:cNvPr id="256" name="Grupo 255">
                  <a:extLst>
                    <a:ext uri="{FF2B5EF4-FFF2-40B4-BE49-F238E27FC236}">
                      <a16:creationId xmlns:a16="http://schemas.microsoft.com/office/drawing/2014/main" id="{00000000-0008-0000-0A00-000000010000}"/>
                    </a:ext>
                  </a:extLst>
                </xdr:cNvPr>
                <xdr:cNvGrpSpPr/>
              </xdr:nvGrpSpPr>
              <xdr:grpSpPr>
                <a:xfrm>
                  <a:off x="20554737" y="13260800"/>
                  <a:ext cx="2157047" cy="732326"/>
                  <a:chOff x="28670251" y="2081892"/>
                  <a:chExt cx="2000250" cy="585107"/>
                </a:xfrm>
              </xdr:grpSpPr>
              <xdr:sp macro="" textlink="">
                <xdr:nvSpPr>
                  <xdr:cNvPr id="280" name="Cheurón 279">
                    <a:extLst>
                      <a:ext uri="{FF2B5EF4-FFF2-40B4-BE49-F238E27FC236}">
                        <a16:creationId xmlns:a16="http://schemas.microsoft.com/office/drawing/2014/main" id="{00000000-0008-0000-0A00-000018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81" name="CuadroTexto 280">
                    <a:extLst>
                      <a:ext uri="{FF2B5EF4-FFF2-40B4-BE49-F238E27FC236}">
                        <a16:creationId xmlns:a16="http://schemas.microsoft.com/office/drawing/2014/main" id="{00000000-0008-0000-0A00-000019010000}"/>
                      </a:ext>
                    </a:extLst>
                  </xdr:cNvPr>
                  <xdr:cNvSpPr txBox="1"/>
                </xdr:nvSpPr>
                <xdr:spPr>
                  <a:xfrm>
                    <a:off x="28869718" y="2159695"/>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X$14">
                <xdr:nvSpPr>
                  <xdr:cNvPr id="282" name="Rectángulo redondeado 281">
                    <a:extLst>
                      <a:ext uri="{FF2B5EF4-FFF2-40B4-BE49-F238E27FC236}">
                        <a16:creationId xmlns:a16="http://schemas.microsoft.com/office/drawing/2014/main" id="{00000000-0008-0000-0A00-00001A010000}"/>
                      </a:ext>
                    </a:extLst>
                  </xdr:cNvPr>
                  <xdr:cNvSpPr/>
                </xdr:nvSpPr>
                <xdr:spPr>
                  <a:xfrm>
                    <a:off x="29786518" y="216585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448F4F-D896-4DB7-8FA5-54982A0643CF}" type="TxLink">
                      <a:rPr lang="en-US" sz="1600" b="1" i="0" u="none" strike="noStrike">
                        <a:solidFill>
                          <a:srgbClr val="FFFF00"/>
                        </a:solidFill>
                        <a:latin typeface="Century Gothic"/>
                      </a:rPr>
                      <a:pPr algn="ctr"/>
                      <a:t>25,0%</a:t>
                    </a:fld>
                    <a:endParaRPr lang="es-CO" sz="2400">
                      <a:solidFill>
                        <a:srgbClr val="FFFF00"/>
                      </a:solidFill>
                    </a:endParaRPr>
                  </a:p>
                </xdr:txBody>
              </xdr:sp>
            </xdr:grpSp>
            <xdr:grpSp>
              <xdr:nvGrpSpPr>
                <xdr:cNvPr id="593" name="Grupo 592">
                  <a:extLst>
                    <a:ext uri="{FF2B5EF4-FFF2-40B4-BE49-F238E27FC236}">
                      <a16:creationId xmlns:a16="http://schemas.microsoft.com/office/drawing/2014/main" id="{00000000-0008-0000-0A00-000051020000}"/>
                    </a:ext>
                  </a:extLst>
                </xdr:cNvPr>
                <xdr:cNvGrpSpPr/>
              </xdr:nvGrpSpPr>
              <xdr:grpSpPr>
                <a:xfrm>
                  <a:off x="21720933" y="13741241"/>
                  <a:ext cx="825525" cy="291236"/>
                  <a:chOff x="21772887" y="13853808"/>
                  <a:chExt cx="825525" cy="291236"/>
                </a:xfrm>
              </xdr:grpSpPr>
              <xdr:sp macro="" textlink="">
                <xdr:nvSpPr>
                  <xdr:cNvPr id="555" name="CuadroTexto 554">
                    <a:extLst>
                      <a:ext uri="{FF2B5EF4-FFF2-40B4-BE49-F238E27FC236}">
                        <a16:creationId xmlns:a16="http://schemas.microsoft.com/office/drawing/2014/main" id="{00000000-0008-0000-0A00-00002B020000}"/>
                      </a:ext>
                    </a:extLst>
                  </xdr:cNvPr>
                  <xdr:cNvSpPr txBox="1"/>
                </xdr:nvSpPr>
                <xdr:spPr>
                  <a:xfrm>
                    <a:off x="21772887" y="1385380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14">
                <xdr:nvSpPr>
                  <xdr:cNvPr id="556" name="Rectángulo 555">
                    <a:extLst>
                      <a:ext uri="{FF2B5EF4-FFF2-40B4-BE49-F238E27FC236}">
                        <a16:creationId xmlns:a16="http://schemas.microsoft.com/office/drawing/2014/main" id="{00000000-0008-0000-0A00-00002C020000}"/>
                      </a:ext>
                    </a:extLst>
                  </xdr:cNvPr>
                  <xdr:cNvSpPr/>
                </xdr:nvSpPr>
                <xdr:spPr>
                  <a:xfrm>
                    <a:off x="21834251" y="13869190"/>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7B154D8-6472-42E4-B95E-922C4297A18C}"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K$14">
                <xdr:nvSpPr>
                  <xdr:cNvPr id="557" name="Rectángulo 556">
                    <a:extLst>
                      <a:ext uri="{FF2B5EF4-FFF2-40B4-BE49-F238E27FC236}">
                        <a16:creationId xmlns:a16="http://schemas.microsoft.com/office/drawing/2014/main" id="{00000000-0008-0000-0A00-00002D020000}"/>
                      </a:ext>
                    </a:extLst>
                  </xdr:cNvPr>
                  <xdr:cNvSpPr/>
                </xdr:nvSpPr>
                <xdr:spPr>
                  <a:xfrm>
                    <a:off x="22128906" y="1386919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65CFD2-C7A5-43DB-A4D1-4D4E0F861A9A}" type="TxLink">
                      <a:rPr lang="en-US" sz="1100" b="1" i="0" u="none" strike="noStrike">
                        <a:solidFill>
                          <a:srgbClr val="FFFF00"/>
                        </a:solidFill>
                        <a:latin typeface="Century Gothic"/>
                      </a:rPr>
                      <a:pPr algn="ctr"/>
                      <a:t>8</a:t>
                    </a:fld>
                    <a:endParaRPr lang="es-CO" sz="1100" b="1">
                      <a:solidFill>
                        <a:srgbClr val="FFFF00"/>
                      </a:solidFill>
                    </a:endParaRPr>
                  </a:p>
                </xdr:txBody>
              </xdr:sp>
            </xdr:grpSp>
          </xdr:grpSp>
          <xdr:grpSp>
            <xdr:nvGrpSpPr>
              <xdr:cNvPr id="659" name="Grupo 658">
                <a:extLst>
                  <a:ext uri="{FF2B5EF4-FFF2-40B4-BE49-F238E27FC236}">
                    <a16:creationId xmlns:a16="http://schemas.microsoft.com/office/drawing/2014/main" id="{00000000-0008-0000-0A00-000093020000}"/>
                  </a:ext>
                </a:extLst>
              </xdr:cNvPr>
              <xdr:cNvGrpSpPr/>
            </xdr:nvGrpSpPr>
            <xdr:grpSpPr>
              <a:xfrm>
                <a:off x="12841883" y="14055217"/>
                <a:ext cx="2157046" cy="732326"/>
                <a:chOff x="12841883" y="14055217"/>
                <a:chExt cx="2157046" cy="732326"/>
              </a:xfrm>
            </xdr:grpSpPr>
            <xdr:grpSp>
              <xdr:nvGrpSpPr>
                <xdr:cNvPr id="257" name="Grupo 256">
                  <a:extLst>
                    <a:ext uri="{FF2B5EF4-FFF2-40B4-BE49-F238E27FC236}">
                      <a16:creationId xmlns:a16="http://schemas.microsoft.com/office/drawing/2014/main" id="{00000000-0008-0000-0A00-000001010000}"/>
                    </a:ext>
                  </a:extLst>
                </xdr:cNvPr>
                <xdr:cNvGrpSpPr/>
              </xdr:nvGrpSpPr>
              <xdr:grpSpPr>
                <a:xfrm>
                  <a:off x="12841883" y="14055217"/>
                  <a:ext cx="2157046" cy="732326"/>
                  <a:chOff x="28670251" y="2081892"/>
                  <a:chExt cx="2000250" cy="585107"/>
                </a:xfrm>
              </xdr:grpSpPr>
              <xdr:sp macro="" textlink="">
                <xdr:nvSpPr>
                  <xdr:cNvPr id="277" name="Cheurón 276">
                    <a:extLst>
                      <a:ext uri="{FF2B5EF4-FFF2-40B4-BE49-F238E27FC236}">
                        <a16:creationId xmlns:a16="http://schemas.microsoft.com/office/drawing/2014/main" id="{00000000-0008-0000-0A00-000015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78" name="CuadroTexto 277">
                    <a:extLst>
                      <a:ext uri="{FF2B5EF4-FFF2-40B4-BE49-F238E27FC236}">
                        <a16:creationId xmlns:a16="http://schemas.microsoft.com/office/drawing/2014/main" id="{00000000-0008-0000-0A00-000016010000}"/>
                      </a:ext>
                    </a:extLst>
                  </xdr:cNvPr>
                  <xdr:cNvSpPr txBox="1"/>
                </xdr:nvSpPr>
                <xdr:spPr>
                  <a:xfrm>
                    <a:off x="28871628" y="2122198"/>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X$15">
                <xdr:nvSpPr>
                  <xdr:cNvPr id="279" name="Rectángulo redondeado 278">
                    <a:extLst>
                      <a:ext uri="{FF2B5EF4-FFF2-40B4-BE49-F238E27FC236}">
                        <a16:creationId xmlns:a16="http://schemas.microsoft.com/office/drawing/2014/main" id="{00000000-0008-0000-0A00-000017010000}"/>
                      </a:ext>
                    </a:extLst>
                  </xdr:cNvPr>
                  <xdr:cNvSpPr/>
                </xdr:nvSpPr>
                <xdr:spPr>
                  <a:xfrm>
                    <a:off x="297865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CA1C168-88C8-459E-8849-6F73DE447FBF}"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600" name="Grupo 599">
                  <a:extLst>
                    <a:ext uri="{FF2B5EF4-FFF2-40B4-BE49-F238E27FC236}">
                      <a16:creationId xmlns:a16="http://schemas.microsoft.com/office/drawing/2014/main" id="{00000000-0008-0000-0A00-000058020000}"/>
                    </a:ext>
                  </a:extLst>
                </xdr:cNvPr>
                <xdr:cNvGrpSpPr/>
              </xdr:nvGrpSpPr>
              <xdr:grpSpPr>
                <a:xfrm>
                  <a:off x="14016091" y="14508357"/>
                  <a:ext cx="828000" cy="275854"/>
                  <a:chOff x="14016091" y="14799434"/>
                  <a:chExt cx="828000" cy="275854"/>
                </a:xfrm>
              </xdr:grpSpPr>
              <xdr:sp macro="" textlink="$W$15">
                <xdr:nvSpPr>
                  <xdr:cNvPr id="558" name="Rectángulo 557">
                    <a:extLst>
                      <a:ext uri="{FF2B5EF4-FFF2-40B4-BE49-F238E27FC236}">
                        <a16:creationId xmlns:a16="http://schemas.microsoft.com/office/drawing/2014/main" id="{00000000-0008-0000-0A00-00002E020000}"/>
                      </a:ext>
                    </a:extLst>
                  </xdr:cNvPr>
                  <xdr:cNvSpPr/>
                </xdr:nvSpPr>
                <xdr:spPr>
                  <a:xfrm>
                    <a:off x="14055428" y="1479943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ED91C-B6CD-44D6-9130-E8B591B5FF98}"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15">
                <xdr:nvSpPr>
                  <xdr:cNvPr id="559" name="Rectángulo 558">
                    <a:extLst>
                      <a:ext uri="{FF2B5EF4-FFF2-40B4-BE49-F238E27FC236}">
                        <a16:creationId xmlns:a16="http://schemas.microsoft.com/office/drawing/2014/main" id="{00000000-0008-0000-0A00-00002F020000}"/>
                      </a:ext>
                    </a:extLst>
                  </xdr:cNvPr>
                  <xdr:cNvSpPr/>
                </xdr:nvSpPr>
                <xdr:spPr>
                  <a:xfrm>
                    <a:off x="14350083" y="1479943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8B0C1589-6ECA-40BC-BCD9-6834BA099E6B}"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
                <xdr:nvSpPr>
                  <xdr:cNvPr id="560" name="CuadroTexto 559">
                    <a:extLst>
                      <a:ext uri="{FF2B5EF4-FFF2-40B4-BE49-F238E27FC236}">
                        <a16:creationId xmlns:a16="http://schemas.microsoft.com/office/drawing/2014/main" id="{00000000-0008-0000-0A00-000030020000}"/>
                      </a:ext>
                    </a:extLst>
                  </xdr:cNvPr>
                  <xdr:cNvSpPr txBox="1"/>
                </xdr:nvSpPr>
                <xdr:spPr>
                  <a:xfrm>
                    <a:off x="14016091" y="14801370"/>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60" name="Grupo 659">
                <a:extLst>
                  <a:ext uri="{FF2B5EF4-FFF2-40B4-BE49-F238E27FC236}">
                    <a16:creationId xmlns:a16="http://schemas.microsoft.com/office/drawing/2014/main" id="{00000000-0008-0000-0A00-000094020000}"/>
                  </a:ext>
                </a:extLst>
              </xdr:cNvPr>
              <xdr:cNvGrpSpPr/>
            </xdr:nvGrpSpPr>
            <xdr:grpSpPr>
              <a:xfrm>
                <a:off x="14801381" y="14057986"/>
                <a:ext cx="2179254" cy="732326"/>
                <a:chOff x="14801381" y="14057986"/>
                <a:chExt cx="2179254" cy="732326"/>
              </a:xfrm>
            </xdr:grpSpPr>
            <xdr:grpSp>
              <xdr:nvGrpSpPr>
                <xdr:cNvPr id="258" name="Grupo 257">
                  <a:extLst>
                    <a:ext uri="{FF2B5EF4-FFF2-40B4-BE49-F238E27FC236}">
                      <a16:creationId xmlns:a16="http://schemas.microsoft.com/office/drawing/2014/main" id="{00000000-0008-0000-0A00-000002010000}"/>
                    </a:ext>
                  </a:extLst>
                </xdr:cNvPr>
                <xdr:cNvGrpSpPr/>
              </xdr:nvGrpSpPr>
              <xdr:grpSpPr>
                <a:xfrm>
                  <a:off x="14801381" y="14057986"/>
                  <a:ext cx="2179254" cy="732326"/>
                  <a:chOff x="28670251" y="2081892"/>
                  <a:chExt cx="2020842" cy="585107"/>
                </a:xfrm>
              </xdr:grpSpPr>
              <xdr:sp macro="" textlink="">
                <xdr:nvSpPr>
                  <xdr:cNvPr id="274" name="Cheurón 273">
                    <a:extLst>
                      <a:ext uri="{FF2B5EF4-FFF2-40B4-BE49-F238E27FC236}">
                        <a16:creationId xmlns:a16="http://schemas.microsoft.com/office/drawing/2014/main" id="{00000000-0008-0000-0A00-000012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75" name="CuadroTexto 274">
                    <a:extLst>
                      <a:ext uri="{FF2B5EF4-FFF2-40B4-BE49-F238E27FC236}">
                        <a16:creationId xmlns:a16="http://schemas.microsoft.com/office/drawing/2014/main" id="{00000000-0008-0000-0A00-000013010000}"/>
                      </a:ext>
                    </a:extLst>
                  </xdr:cNvPr>
                  <xdr:cNvSpPr txBox="1"/>
                </xdr:nvSpPr>
                <xdr:spPr>
                  <a:xfrm>
                    <a:off x="28789521" y="2122198"/>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X$16">
                <xdr:nvSpPr>
                  <xdr:cNvPr id="276" name="Rectángulo redondeado 275">
                    <a:extLst>
                      <a:ext uri="{FF2B5EF4-FFF2-40B4-BE49-F238E27FC236}">
                        <a16:creationId xmlns:a16="http://schemas.microsoft.com/office/drawing/2014/main" id="{00000000-0008-0000-0A00-000014010000}"/>
                      </a:ext>
                    </a:extLst>
                  </xdr:cNvPr>
                  <xdr:cNvSpPr/>
                </xdr:nvSpPr>
                <xdr:spPr>
                  <a:xfrm>
                    <a:off x="29824320"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9FA8D55-379B-4C49-B68E-A496E4B8911F}"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601" name="Grupo 600">
                  <a:extLst>
                    <a:ext uri="{FF2B5EF4-FFF2-40B4-BE49-F238E27FC236}">
                      <a16:creationId xmlns:a16="http://schemas.microsoft.com/office/drawing/2014/main" id="{00000000-0008-0000-0A00-000059020000}"/>
                    </a:ext>
                  </a:extLst>
                </xdr:cNvPr>
                <xdr:cNvGrpSpPr/>
              </xdr:nvGrpSpPr>
              <xdr:grpSpPr>
                <a:xfrm>
                  <a:off x="16010400" y="14508357"/>
                  <a:ext cx="828000" cy="275854"/>
                  <a:chOff x="16010400" y="14650231"/>
                  <a:chExt cx="828000" cy="275854"/>
                </a:xfrm>
              </xdr:grpSpPr>
              <xdr:sp macro="" textlink="$W$16">
                <xdr:nvSpPr>
                  <xdr:cNvPr id="561" name="Rectángulo 560">
                    <a:extLst>
                      <a:ext uri="{FF2B5EF4-FFF2-40B4-BE49-F238E27FC236}">
                        <a16:creationId xmlns:a16="http://schemas.microsoft.com/office/drawing/2014/main" id="{00000000-0008-0000-0A00-000031020000}"/>
                      </a:ext>
                    </a:extLst>
                  </xdr:cNvPr>
                  <xdr:cNvSpPr/>
                </xdr:nvSpPr>
                <xdr:spPr>
                  <a:xfrm>
                    <a:off x="16067055" y="1465023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B01D163-6886-4DD9-8A59-D6B59F4B724F}"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16">
                <xdr:nvSpPr>
                  <xdr:cNvPr id="562" name="Rectángulo 561">
                    <a:extLst>
                      <a:ext uri="{FF2B5EF4-FFF2-40B4-BE49-F238E27FC236}">
                        <a16:creationId xmlns:a16="http://schemas.microsoft.com/office/drawing/2014/main" id="{00000000-0008-0000-0A00-000032020000}"/>
                      </a:ext>
                    </a:extLst>
                  </xdr:cNvPr>
                  <xdr:cNvSpPr/>
                </xdr:nvSpPr>
                <xdr:spPr>
                  <a:xfrm>
                    <a:off x="16353051" y="1465023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63D6EBE-7451-4A5C-B0B7-1D5E485BA6EE}"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
                <xdr:nvSpPr>
                  <xdr:cNvPr id="563" name="CuadroTexto 562">
                    <a:extLst>
                      <a:ext uri="{FF2B5EF4-FFF2-40B4-BE49-F238E27FC236}">
                        <a16:creationId xmlns:a16="http://schemas.microsoft.com/office/drawing/2014/main" id="{00000000-0008-0000-0A00-000033020000}"/>
                      </a:ext>
                    </a:extLst>
                  </xdr:cNvPr>
                  <xdr:cNvSpPr txBox="1"/>
                </xdr:nvSpPr>
                <xdr:spPr>
                  <a:xfrm>
                    <a:off x="16010400" y="14652167"/>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61" name="Grupo 660">
                <a:extLst>
                  <a:ext uri="{FF2B5EF4-FFF2-40B4-BE49-F238E27FC236}">
                    <a16:creationId xmlns:a16="http://schemas.microsoft.com/office/drawing/2014/main" id="{00000000-0008-0000-0A00-000095020000}"/>
                  </a:ext>
                </a:extLst>
              </xdr:cNvPr>
              <xdr:cNvGrpSpPr/>
            </xdr:nvGrpSpPr>
            <xdr:grpSpPr>
              <a:xfrm>
                <a:off x="16747206" y="14046916"/>
                <a:ext cx="2192840" cy="737295"/>
                <a:chOff x="16747206" y="14046916"/>
                <a:chExt cx="2192840" cy="737295"/>
              </a:xfrm>
            </xdr:grpSpPr>
            <xdr:grpSp>
              <xdr:nvGrpSpPr>
                <xdr:cNvPr id="259" name="Grupo 258">
                  <a:extLst>
                    <a:ext uri="{FF2B5EF4-FFF2-40B4-BE49-F238E27FC236}">
                      <a16:creationId xmlns:a16="http://schemas.microsoft.com/office/drawing/2014/main" id="{00000000-0008-0000-0A00-000003010000}"/>
                    </a:ext>
                  </a:extLst>
                </xdr:cNvPr>
                <xdr:cNvGrpSpPr/>
              </xdr:nvGrpSpPr>
              <xdr:grpSpPr>
                <a:xfrm>
                  <a:off x="16747206" y="14046916"/>
                  <a:ext cx="2192840" cy="732326"/>
                  <a:chOff x="28670251" y="2081892"/>
                  <a:chExt cx="2033443" cy="585107"/>
                </a:xfrm>
              </xdr:grpSpPr>
              <xdr:sp macro="" textlink="">
                <xdr:nvSpPr>
                  <xdr:cNvPr id="271" name="Cheurón 270">
                    <a:extLst>
                      <a:ext uri="{FF2B5EF4-FFF2-40B4-BE49-F238E27FC236}">
                        <a16:creationId xmlns:a16="http://schemas.microsoft.com/office/drawing/2014/main" id="{00000000-0008-0000-0A00-00000F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72" name="CuadroTexto 271">
                    <a:extLst>
                      <a:ext uri="{FF2B5EF4-FFF2-40B4-BE49-F238E27FC236}">
                        <a16:creationId xmlns:a16="http://schemas.microsoft.com/office/drawing/2014/main" id="{00000000-0008-0000-0A00-000010010000}"/>
                      </a:ext>
                    </a:extLst>
                  </xdr:cNvPr>
                  <xdr:cNvSpPr txBox="1"/>
                </xdr:nvSpPr>
                <xdr:spPr>
                  <a:xfrm>
                    <a:off x="28782494" y="2119420"/>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X$17">
                <xdr:nvSpPr>
                  <xdr:cNvPr id="273" name="Rectángulo redondeado 272">
                    <a:extLst>
                      <a:ext uri="{FF2B5EF4-FFF2-40B4-BE49-F238E27FC236}">
                        <a16:creationId xmlns:a16="http://schemas.microsoft.com/office/drawing/2014/main" id="{00000000-0008-0000-0A00-000011010000}"/>
                      </a:ext>
                    </a:extLst>
                  </xdr:cNvPr>
                  <xdr:cNvSpPr/>
                </xdr:nvSpPr>
                <xdr:spPr>
                  <a:xfrm>
                    <a:off x="2983691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2E04FA-BB20-4632-880E-9FB7A7D3FB9D}"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602" name="Grupo 601">
                  <a:extLst>
                    <a:ext uri="{FF2B5EF4-FFF2-40B4-BE49-F238E27FC236}">
                      <a16:creationId xmlns:a16="http://schemas.microsoft.com/office/drawing/2014/main" id="{00000000-0008-0000-0A00-00005A020000}"/>
                    </a:ext>
                  </a:extLst>
                </xdr:cNvPr>
                <xdr:cNvGrpSpPr/>
              </xdr:nvGrpSpPr>
              <xdr:grpSpPr>
                <a:xfrm>
                  <a:off x="17963890" y="14508357"/>
                  <a:ext cx="828000" cy="275854"/>
                  <a:chOff x="17963890" y="14651593"/>
                  <a:chExt cx="828000" cy="275854"/>
                </a:xfrm>
              </xdr:grpSpPr>
              <xdr:sp macro="" textlink="$W$17">
                <xdr:nvSpPr>
                  <xdr:cNvPr id="564" name="Rectángulo 563">
                    <a:extLst>
                      <a:ext uri="{FF2B5EF4-FFF2-40B4-BE49-F238E27FC236}">
                        <a16:creationId xmlns:a16="http://schemas.microsoft.com/office/drawing/2014/main" id="{00000000-0008-0000-0A00-000034020000}"/>
                      </a:ext>
                    </a:extLst>
                  </xdr:cNvPr>
                  <xdr:cNvSpPr/>
                </xdr:nvSpPr>
                <xdr:spPr>
                  <a:xfrm>
                    <a:off x="18029204" y="1465159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F8BEB68E-5A2B-4C42-9408-B7C44874AC7D}"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17">
                <xdr:nvSpPr>
                  <xdr:cNvPr id="565" name="Rectángulo 564">
                    <a:extLst>
                      <a:ext uri="{FF2B5EF4-FFF2-40B4-BE49-F238E27FC236}">
                        <a16:creationId xmlns:a16="http://schemas.microsoft.com/office/drawing/2014/main" id="{00000000-0008-0000-0A00-000035020000}"/>
                      </a:ext>
                    </a:extLst>
                  </xdr:cNvPr>
                  <xdr:cNvSpPr/>
                </xdr:nvSpPr>
                <xdr:spPr>
                  <a:xfrm>
                    <a:off x="18315200" y="1465159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824BE72-C060-4699-A288-57BF987A9F22}" type="TxLink">
                      <a:rPr lang="en-US" sz="1100" b="1" i="0" u="none" strike="noStrike">
                        <a:solidFill>
                          <a:srgbClr val="FFFF00"/>
                        </a:solidFill>
                        <a:latin typeface="Century Gothic"/>
                      </a:rPr>
                      <a:pPr algn="ctr"/>
                      <a:t>14</a:t>
                    </a:fld>
                    <a:endParaRPr lang="es-CO" sz="1100" b="1">
                      <a:solidFill>
                        <a:srgbClr val="FFFF00"/>
                      </a:solidFill>
                    </a:endParaRPr>
                  </a:p>
                </xdr:txBody>
              </xdr:sp>
              <xdr:sp macro="" textlink="">
                <xdr:nvSpPr>
                  <xdr:cNvPr id="566" name="CuadroTexto 565">
                    <a:extLst>
                      <a:ext uri="{FF2B5EF4-FFF2-40B4-BE49-F238E27FC236}">
                        <a16:creationId xmlns:a16="http://schemas.microsoft.com/office/drawing/2014/main" id="{00000000-0008-0000-0A00-000036020000}"/>
                      </a:ext>
                    </a:extLst>
                  </xdr:cNvPr>
                  <xdr:cNvSpPr txBox="1"/>
                </xdr:nvSpPr>
                <xdr:spPr>
                  <a:xfrm>
                    <a:off x="17963890" y="14653529"/>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662" name="Grupo 661">
                <a:extLst>
                  <a:ext uri="{FF2B5EF4-FFF2-40B4-BE49-F238E27FC236}">
                    <a16:creationId xmlns:a16="http://schemas.microsoft.com/office/drawing/2014/main" id="{00000000-0008-0000-0A00-000096020000}"/>
                  </a:ext>
                </a:extLst>
              </xdr:cNvPr>
              <xdr:cNvGrpSpPr/>
            </xdr:nvGrpSpPr>
            <xdr:grpSpPr>
              <a:xfrm>
                <a:off x="18693068" y="14049686"/>
                <a:ext cx="2126570" cy="734525"/>
                <a:chOff x="18693068" y="14049686"/>
                <a:chExt cx="2126570" cy="734525"/>
              </a:xfrm>
            </xdr:grpSpPr>
            <xdr:grpSp>
              <xdr:nvGrpSpPr>
                <xdr:cNvPr id="260" name="Grupo 259">
                  <a:extLst>
                    <a:ext uri="{FF2B5EF4-FFF2-40B4-BE49-F238E27FC236}">
                      <a16:creationId xmlns:a16="http://schemas.microsoft.com/office/drawing/2014/main" id="{00000000-0008-0000-0A00-000004010000}"/>
                    </a:ext>
                  </a:extLst>
                </xdr:cNvPr>
                <xdr:cNvGrpSpPr/>
              </xdr:nvGrpSpPr>
              <xdr:grpSpPr>
                <a:xfrm>
                  <a:off x="18693068" y="14049686"/>
                  <a:ext cx="2126570" cy="732326"/>
                  <a:chOff x="28670251" y="2081892"/>
                  <a:chExt cx="2012232" cy="585107"/>
                </a:xfrm>
              </xdr:grpSpPr>
              <xdr:sp macro="" textlink="">
                <xdr:nvSpPr>
                  <xdr:cNvPr id="268" name="Cheurón 267">
                    <a:extLst>
                      <a:ext uri="{FF2B5EF4-FFF2-40B4-BE49-F238E27FC236}">
                        <a16:creationId xmlns:a16="http://schemas.microsoft.com/office/drawing/2014/main" id="{00000000-0008-0000-0A00-00000C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69" name="CuadroTexto 268">
                    <a:extLst>
                      <a:ext uri="{FF2B5EF4-FFF2-40B4-BE49-F238E27FC236}">
                        <a16:creationId xmlns:a16="http://schemas.microsoft.com/office/drawing/2014/main" id="{00000000-0008-0000-0A00-00000D010000}"/>
                      </a:ext>
                    </a:extLst>
                  </xdr:cNvPr>
                  <xdr:cNvSpPr txBox="1"/>
                </xdr:nvSpPr>
                <xdr:spPr>
                  <a:xfrm>
                    <a:off x="28911076" y="2122198"/>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X$18">
                <xdr:nvSpPr>
                  <xdr:cNvPr id="270" name="Rectángulo redondeado 269">
                    <a:extLst>
                      <a:ext uri="{FF2B5EF4-FFF2-40B4-BE49-F238E27FC236}">
                        <a16:creationId xmlns:a16="http://schemas.microsoft.com/office/drawing/2014/main" id="{00000000-0008-0000-0A00-00000E010000}"/>
                      </a:ext>
                    </a:extLst>
                  </xdr:cNvPr>
                  <xdr:cNvSpPr/>
                </xdr:nvSpPr>
                <xdr:spPr>
                  <a:xfrm>
                    <a:off x="29798021"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99FF71C-5B37-4321-A343-0DDDEBF3C1F3}" type="TxLink">
                      <a:rPr lang="en-US" sz="1600" b="1" i="0" u="none" strike="noStrike">
                        <a:solidFill>
                          <a:srgbClr val="FFFF00"/>
                        </a:solidFill>
                        <a:latin typeface="Century Gothic"/>
                      </a:rPr>
                      <a:pPr algn="ctr"/>
                      <a:t>66,7%</a:t>
                    </a:fld>
                    <a:endParaRPr lang="es-CO" sz="2400">
                      <a:solidFill>
                        <a:srgbClr val="FFFF00"/>
                      </a:solidFill>
                    </a:endParaRPr>
                  </a:p>
                </xdr:txBody>
              </xdr:sp>
            </xdr:grpSp>
            <xdr:grpSp>
              <xdr:nvGrpSpPr>
                <xdr:cNvPr id="603" name="Grupo 602">
                  <a:extLst>
                    <a:ext uri="{FF2B5EF4-FFF2-40B4-BE49-F238E27FC236}">
                      <a16:creationId xmlns:a16="http://schemas.microsoft.com/office/drawing/2014/main" id="{00000000-0008-0000-0A00-00005B020000}"/>
                    </a:ext>
                  </a:extLst>
                </xdr:cNvPr>
                <xdr:cNvGrpSpPr/>
              </xdr:nvGrpSpPr>
              <xdr:grpSpPr>
                <a:xfrm>
                  <a:off x="19859234" y="14508357"/>
                  <a:ext cx="825525" cy="275854"/>
                  <a:chOff x="19893870" y="14659758"/>
                  <a:chExt cx="825525" cy="275854"/>
                </a:xfrm>
              </xdr:grpSpPr>
              <xdr:sp macro="" textlink="">
                <xdr:nvSpPr>
                  <xdr:cNvPr id="567" name="CuadroTexto 566">
                    <a:extLst>
                      <a:ext uri="{FF2B5EF4-FFF2-40B4-BE49-F238E27FC236}">
                        <a16:creationId xmlns:a16="http://schemas.microsoft.com/office/drawing/2014/main" id="{00000000-0008-0000-0A00-000037020000}"/>
                      </a:ext>
                    </a:extLst>
                  </xdr:cNvPr>
                  <xdr:cNvSpPr txBox="1"/>
                </xdr:nvSpPr>
                <xdr:spPr>
                  <a:xfrm>
                    <a:off x="19893870" y="14661694"/>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18">
                <xdr:nvSpPr>
                  <xdr:cNvPr id="568" name="Rectángulo 567">
                    <a:extLst>
                      <a:ext uri="{FF2B5EF4-FFF2-40B4-BE49-F238E27FC236}">
                        <a16:creationId xmlns:a16="http://schemas.microsoft.com/office/drawing/2014/main" id="{00000000-0008-0000-0A00-000038020000}"/>
                      </a:ext>
                    </a:extLst>
                  </xdr:cNvPr>
                  <xdr:cNvSpPr/>
                </xdr:nvSpPr>
                <xdr:spPr>
                  <a:xfrm>
                    <a:off x="19955234" y="14659758"/>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9625F8A-E3FE-400D-A5B7-3FBCB4F94F11}"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K$18">
                <xdr:nvSpPr>
                  <xdr:cNvPr id="569" name="Rectángulo 568">
                    <a:extLst>
                      <a:ext uri="{FF2B5EF4-FFF2-40B4-BE49-F238E27FC236}">
                        <a16:creationId xmlns:a16="http://schemas.microsoft.com/office/drawing/2014/main" id="{00000000-0008-0000-0A00-000039020000}"/>
                      </a:ext>
                    </a:extLst>
                  </xdr:cNvPr>
                  <xdr:cNvSpPr/>
                </xdr:nvSpPr>
                <xdr:spPr>
                  <a:xfrm>
                    <a:off x="20241230" y="14659758"/>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648831B-91EC-4BC9-951A-D69FBE88BAC8}" type="TxLink">
                      <a:rPr lang="en-US" sz="1100" b="1" i="0" u="none" strike="noStrike">
                        <a:solidFill>
                          <a:srgbClr val="FFFF00"/>
                        </a:solidFill>
                        <a:latin typeface="Century Gothic"/>
                      </a:rPr>
                      <a:pPr algn="ctr"/>
                      <a:t>6</a:t>
                    </a:fld>
                    <a:endParaRPr lang="es-CO" sz="1100" b="1">
                      <a:solidFill>
                        <a:srgbClr val="FFFF00"/>
                      </a:solidFill>
                    </a:endParaRPr>
                  </a:p>
                </xdr:txBody>
              </xdr:sp>
            </xdr:grpSp>
          </xdr:grpSp>
          <xdr:grpSp>
            <xdr:nvGrpSpPr>
              <xdr:cNvPr id="663" name="Grupo 662">
                <a:extLst>
                  <a:ext uri="{FF2B5EF4-FFF2-40B4-BE49-F238E27FC236}">
                    <a16:creationId xmlns:a16="http://schemas.microsoft.com/office/drawing/2014/main" id="{00000000-0008-0000-0A00-000097020000}"/>
                  </a:ext>
                </a:extLst>
              </xdr:cNvPr>
              <xdr:cNvGrpSpPr/>
            </xdr:nvGrpSpPr>
            <xdr:grpSpPr>
              <a:xfrm>
                <a:off x="20598180" y="14052454"/>
                <a:ext cx="2113907" cy="732326"/>
                <a:chOff x="20598180" y="14052454"/>
                <a:chExt cx="2113907" cy="732326"/>
              </a:xfrm>
            </xdr:grpSpPr>
            <xdr:grpSp>
              <xdr:nvGrpSpPr>
                <xdr:cNvPr id="261" name="Grupo 260">
                  <a:extLst>
                    <a:ext uri="{FF2B5EF4-FFF2-40B4-BE49-F238E27FC236}">
                      <a16:creationId xmlns:a16="http://schemas.microsoft.com/office/drawing/2014/main" id="{00000000-0008-0000-0A00-000005010000}"/>
                    </a:ext>
                  </a:extLst>
                </xdr:cNvPr>
                <xdr:cNvGrpSpPr/>
              </xdr:nvGrpSpPr>
              <xdr:grpSpPr>
                <a:xfrm>
                  <a:off x="20598180" y="14052454"/>
                  <a:ext cx="2113907" cy="732326"/>
                  <a:chOff x="28670251" y="2081892"/>
                  <a:chExt cx="2000250" cy="585107"/>
                </a:xfrm>
              </xdr:grpSpPr>
              <xdr:sp macro="" textlink="">
                <xdr:nvSpPr>
                  <xdr:cNvPr id="265" name="Cheurón 264">
                    <a:extLst>
                      <a:ext uri="{FF2B5EF4-FFF2-40B4-BE49-F238E27FC236}">
                        <a16:creationId xmlns:a16="http://schemas.microsoft.com/office/drawing/2014/main" id="{00000000-0008-0000-0A00-00000901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66" name="CuadroTexto 265">
                    <a:extLst>
                      <a:ext uri="{FF2B5EF4-FFF2-40B4-BE49-F238E27FC236}">
                        <a16:creationId xmlns:a16="http://schemas.microsoft.com/office/drawing/2014/main" id="{00000000-0008-0000-0A00-00000A010000}"/>
                      </a:ext>
                    </a:extLst>
                  </xdr:cNvPr>
                  <xdr:cNvSpPr txBox="1"/>
                </xdr:nvSpPr>
                <xdr:spPr>
                  <a:xfrm>
                    <a:off x="28842462"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X$19">
                <xdr:nvSpPr>
                  <xdr:cNvPr id="267" name="Rectángulo redondeado 266">
                    <a:extLst>
                      <a:ext uri="{FF2B5EF4-FFF2-40B4-BE49-F238E27FC236}">
                        <a16:creationId xmlns:a16="http://schemas.microsoft.com/office/drawing/2014/main" id="{00000000-0008-0000-0A00-00000B010000}"/>
                      </a:ext>
                    </a:extLst>
                  </xdr:cNvPr>
                  <xdr:cNvSpPr/>
                </xdr:nvSpPr>
                <xdr:spPr>
                  <a:xfrm>
                    <a:off x="29798022" y="2157577"/>
                    <a:ext cx="85044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FB7C1F-F51F-437F-90E9-0A6690DA48D6}" type="TxLink">
                      <a:rPr lang="en-US" sz="1600" b="1" i="0" u="none" strike="noStrike">
                        <a:solidFill>
                          <a:srgbClr val="FFFF00"/>
                        </a:solidFill>
                        <a:latin typeface="Century Gothic"/>
                      </a:rPr>
                      <a:pPr algn="ctr"/>
                      <a:t>0,0%</a:t>
                    </a:fld>
                    <a:endParaRPr lang="es-CO" sz="2400">
                      <a:solidFill>
                        <a:srgbClr val="FFFF00"/>
                      </a:solidFill>
                    </a:endParaRPr>
                  </a:p>
                </xdr:txBody>
              </xdr:sp>
            </xdr:grpSp>
            <xdr:grpSp>
              <xdr:nvGrpSpPr>
                <xdr:cNvPr id="607" name="Grupo 606">
                  <a:extLst>
                    <a:ext uri="{FF2B5EF4-FFF2-40B4-BE49-F238E27FC236}">
                      <a16:creationId xmlns:a16="http://schemas.microsoft.com/office/drawing/2014/main" id="{00000000-0008-0000-0A00-00005F020000}"/>
                    </a:ext>
                  </a:extLst>
                </xdr:cNvPr>
                <xdr:cNvGrpSpPr/>
              </xdr:nvGrpSpPr>
              <xdr:grpSpPr>
                <a:xfrm>
                  <a:off x="21778084" y="14508357"/>
                  <a:ext cx="825525" cy="275854"/>
                  <a:chOff x="21778084" y="14662356"/>
                  <a:chExt cx="825525" cy="275854"/>
                </a:xfrm>
              </xdr:grpSpPr>
              <xdr:sp macro="" textlink="">
                <xdr:nvSpPr>
                  <xdr:cNvPr id="570" name="CuadroTexto 569">
                    <a:extLst>
                      <a:ext uri="{FF2B5EF4-FFF2-40B4-BE49-F238E27FC236}">
                        <a16:creationId xmlns:a16="http://schemas.microsoft.com/office/drawing/2014/main" id="{00000000-0008-0000-0A00-00003A020000}"/>
                      </a:ext>
                    </a:extLst>
                  </xdr:cNvPr>
                  <xdr:cNvSpPr txBox="1"/>
                </xdr:nvSpPr>
                <xdr:spPr>
                  <a:xfrm>
                    <a:off x="21778084" y="1466429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19">
                <xdr:nvSpPr>
                  <xdr:cNvPr id="571" name="Rectángulo 570">
                    <a:extLst>
                      <a:ext uri="{FF2B5EF4-FFF2-40B4-BE49-F238E27FC236}">
                        <a16:creationId xmlns:a16="http://schemas.microsoft.com/office/drawing/2014/main" id="{00000000-0008-0000-0A00-00003B020000}"/>
                      </a:ext>
                    </a:extLst>
                  </xdr:cNvPr>
                  <xdr:cNvSpPr/>
                </xdr:nvSpPr>
                <xdr:spPr>
                  <a:xfrm>
                    <a:off x="21830789" y="1466235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D3A16E2B-1C51-4627-AE6C-FC3504698EE4}"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19">
                <xdr:nvSpPr>
                  <xdr:cNvPr id="572" name="Rectángulo 571">
                    <a:extLst>
                      <a:ext uri="{FF2B5EF4-FFF2-40B4-BE49-F238E27FC236}">
                        <a16:creationId xmlns:a16="http://schemas.microsoft.com/office/drawing/2014/main" id="{00000000-0008-0000-0A00-00003C020000}"/>
                      </a:ext>
                    </a:extLst>
                  </xdr:cNvPr>
                  <xdr:cNvSpPr/>
                </xdr:nvSpPr>
                <xdr:spPr>
                  <a:xfrm>
                    <a:off x="22116785" y="1466235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3A018066-334A-4025-B06E-328DF615518E}" type="TxLink">
                      <a:rPr lang="en-US" sz="1100" b="1" i="0" u="none" strike="noStrike">
                        <a:solidFill>
                          <a:srgbClr val="FFFF00"/>
                        </a:solidFill>
                        <a:latin typeface="Century Gothic"/>
                      </a:rPr>
                      <a:pPr algn="ctr"/>
                      <a:t>3</a:t>
                    </a:fld>
                    <a:endParaRPr lang="es-CO" sz="1100" b="1">
                      <a:solidFill>
                        <a:srgbClr val="FFFF00"/>
                      </a:solidFill>
                    </a:endParaRPr>
                  </a:p>
                </xdr:txBody>
              </xdr:sp>
            </xdr:grpSp>
          </xdr:grpSp>
        </xdr:grpSp>
        <xdr:grpSp>
          <xdr:nvGrpSpPr>
            <xdr:cNvPr id="639" name="Grupo 638">
              <a:extLst>
                <a:ext uri="{FF2B5EF4-FFF2-40B4-BE49-F238E27FC236}">
                  <a16:creationId xmlns:a16="http://schemas.microsoft.com/office/drawing/2014/main" id="{00000000-0008-0000-0A00-00007F020000}"/>
                </a:ext>
              </a:extLst>
            </xdr:cNvPr>
            <xdr:cNvGrpSpPr/>
          </xdr:nvGrpSpPr>
          <xdr:grpSpPr>
            <a:xfrm>
              <a:off x="12023189" y="15669185"/>
              <a:ext cx="6951194" cy="1653631"/>
              <a:chOff x="11988224" y="16761025"/>
              <a:chExt cx="6931533" cy="1640037"/>
            </a:xfrm>
          </xdr:grpSpPr>
          <xdr:grpSp>
            <xdr:nvGrpSpPr>
              <xdr:cNvPr id="224" name="Grupo 223">
                <a:extLst>
                  <a:ext uri="{FF2B5EF4-FFF2-40B4-BE49-F238E27FC236}">
                    <a16:creationId xmlns:a16="http://schemas.microsoft.com/office/drawing/2014/main" id="{00000000-0008-0000-0A00-0000E0000000}"/>
                  </a:ext>
                </a:extLst>
              </xdr:cNvPr>
              <xdr:cNvGrpSpPr/>
            </xdr:nvGrpSpPr>
            <xdr:grpSpPr>
              <a:xfrm>
                <a:off x="11988224" y="16761025"/>
                <a:ext cx="719623" cy="1640037"/>
                <a:chOff x="27415385" y="8406495"/>
                <a:chExt cx="720130" cy="1610348"/>
              </a:xfrm>
            </xdr:grpSpPr>
            <xdr:sp macro="" textlink="">
              <xdr:nvSpPr>
                <xdr:cNvPr id="229" name="Rectángulo 228">
                  <a:extLst>
                    <a:ext uri="{FF2B5EF4-FFF2-40B4-BE49-F238E27FC236}">
                      <a16:creationId xmlns:a16="http://schemas.microsoft.com/office/drawing/2014/main" id="{00000000-0008-0000-0A00-0000E5000000}"/>
                    </a:ext>
                  </a:extLst>
                </xdr:cNvPr>
                <xdr:cNvSpPr/>
              </xdr:nvSpPr>
              <xdr:spPr>
                <a:xfrm>
                  <a:off x="27415385" y="8504462"/>
                  <a:ext cx="720130"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30" name="CuadroTexto 229">
                  <a:extLst>
                    <a:ext uri="{FF2B5EF4-FFF2-40B4-BE49-F238E27FC236}">
                      <a16:creationId xmlns:a16="http://schemas.microsoft.com/office/drawing/2014/main" id="{00000000-0008-0000-0A00-0000E6000000}"/>
                    </a:ext>
                  </a:extLst>
                </xdr:cNvPr>
                <xdr:cNvSpPr txBox="1"/>
              </xdr:nvSpPr>
              <xdr:spPr>
                <a:xfrm rot="16200000">
                  <a:off x="26970019"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223" name="Flecha abajo 222">
                <a:extLst>
                  <a:ext uri="{FF2B5EF4-FFF2-40B4-BE49-F238E27FC236}">
                    <a16:creationId xmlns:a16="http://schemas.microsoft.com/office/drawing/2014/main" id="{00000000-0008-0000-0A00-0000DF000000}"/>
                  </a:ext>
                </a:extLst>
              </xdr:cNvPr>
              <xdr:cNvSpPr/>
            </xdr:nvSpPr>
            <xdr:spPr>
              <a:xfrm rot="10800000">
                <a:off x="17373214" y="16880679"/>
                <a:ext cx="467671" cy="293310"/>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38" name="Grupo 637">
                <a:extLst>
                  <a:ext uri="{FF2B5EF4-FFF2-40B4-BE49-F238E27FC236}">
                    <a16:creationId xmlns:a16="http://schemas.microsoft.com/office/drawing/2014/main" id="{00000000-0008-0000-0A00-00007E020000}"/>
                  </a:ext>
                </a:extLst>
              </xdr:cNvPr>
              <xdr:cNvGrpSpPr/>
            </xdr:nvGrpSpPr>
            <xdr:grpSpPr>
              <a:xfrm>
                <a:off x="16761275" y="17298378"/>
                <a:ext cx="2158482" cy="736372"/>
                <a:chOff x="16761275" y="17298378"/>
                <a:chExt cx="2158482" cy="736372"/>
              </a:xfrm>
            </xdr:grpSpPr>
            <xdr:grpSp>
              <xdr:nvGrpSpPr>
                <xdr:cNvPr id="225" name="Grupo 224">
                  <a:extLst>
                    <a:ext uri="{FF2B5EF4-FFF2-40B4-BE49-F238E27FC236}">
                      <a16:creationId xmlns:a16="http://schemas.microsoft.com/office/drawing/2014/main" id="{00000000-0008-0000-0A00-0000E1000000}"/>
                    </a:ext>
                  </a:extLst>
                </xdr:cNvPr>
                <xdr:cNvGrpSpPr/>
              </xdr:nvGrpSpPr>
              <xdr:grpSpPr>
                <a:xfrm>
                  <a:off x="16761275" y="17298378"/>
                  <a:ext cx="2158482" cy="736372"/>
                  <a:chOff x="28351843" y="12455641"/>
                  <a:chExt cx="2160000" cy="723042"/>
                </a:xfrm>
              </xdr:grpSpPr>
              <xdr:sp macro="" textlink="">
                <xdr:nvSpPr>
                  <xdr:cNvPr id="226" name="Cheurón 225">
                    <a:extLst>
                      <a:ext uri="{FF2B5EF4-FFF2-40B4-BE49-F238E27FC236}">
                        <a16:creationId xmlns:a16="http://schemas.microsoft.com/office/drawing/2014/main" id="{00000000-0008-0000-0A00-0000E200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27" name="CuadroTexto 226">
                    <a:extLst>
                      <a:ext uri="{FF2B5EF4-FFF2-40B4-BE49-F238E27FC236}">
                        <a16:creationId xmlns:a16="http://schemas.microsoft.com/office/drawing/2014/main" id="{00000000-0008-0000-0A00-0000E3000000}"/>
                      </a:ext>
                    </a:extLst>
                  </xdr:cNvPr>
                  <xdr:cNvSpPr txBox="1"/>
                </xdr:nvSpPr>
                <xdr:spPr>
                  <a:xfrm>
                    <a:off x="28448411" y="12455641"/>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X$28">
                <xdr:nvSpPr>
                  <xdr:cNvPr id="228" name="Rectángulo redondeado 227">
                    <a:extLst>
                      <a:ext uri="{FF2B5EF4-FFF2-40B4-BE49-F238E27FC236}">
                        <a16:creationId xmlns:a16="http://schemas.microsoft.com/office/drawing/2014/main" id="{00000000-0008-0000-0A00-0000E4000000}"/>
                      </a:ext>
                    </a:extLst>
                  </xdr:cNvPr>
                  <xdr:cNvSpPr/>
                </xdr:nvSpPr>
                <xdr:spPr>
                  <a:xfrm>
                    <a:off x="29530050" y="12556922"/>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5B844AB-9ACB-41A6-9DAE-73EF6EAC849D}" type="TxLink">
                      <a:rPr lang="en-US" sz="1600" b="1" i="0" u="none" strike="noStrike">
                        <a:solidFill>
                          <a:srgbClr val="000000"/>
                        </a:solidFill>
                        <a:latin typeface="Century Gothic"/>
                      </a:rPr>
                      <a:pPr algn="ctr"/>
                      <a:t>-</a:t>
                    </a:fld>
                    <a:endParaRPr lang="es-CO" sz="5400">
                      <a:solidFill>
                        <a:schemeClr val="tx1">
                          <a:lumMod val="95000"/>
                          <a:lumOff val="5000"/>
                        </a:schemeClr>
                      </a:solidFill>
                    </a:endParaRPr>
                  </a:p>
                </xdr:txBody>
              </xdr:sp>
            </xdr:grpSp>
            <xdr:grpSp>
              <xdr:nvGrpSpPr>
                <xdr:cNvPr id="637" name="Grupo 636">
                  <a:extLst>
                    <a:ext uri="{FF2B5EF4-FFF2-40B4-BE49-F238E27FC236}">
                      <a16:creationId xmlns:a16="http://schemas.microsoft.com/office/drawing/2014/main" id="{00000000-0008-0000-0A00-00007D020000}"/>
                    </a:ext>
                  </a:extLst>
                </xdr:cNvPr>
                <xdr:cNvGrpSpPr/>
              </xdr:nvGrpSpPr>
              <xdr:grpSpPr>
                <a:xfrm>
                  <a:off x="17936902" y="17738133"/>
                  <a:ext cx="825525" cy="275854"/>
                  <a:chOff x="17936902" y="17919972"/>
                  <a:chExt cx="825525" cy="275854"/>
                </a:xfrm>
              </xdr:grpSpPr>
              <xdr:sp macro="" textlink="">
                <xdr:nvSpPr>
                  <xdr:cNvPr id="629" name="CuadroTexto 628">
                    <a:extLst>
                      <a:ext uri="{FF2B5EF4-FFF2-40B4-BE49-F238E27FC236}">
                        <a16:creationId xmlns:a16="http://schemas.microsoft.com/office/drawing/2014/main" id="{00000000-0008-0000-0A00-000075020000}"/>
                      </a:ext>
                    </a:extLst>
                  </xdr:cNvPr>
                  <xdr:cNvSpPr txBox="1"/>
                </xdr:nvSpPr>
                <xdr:spPr>
                  <a:xfrm>
                    <a:off x="17936902" y="1792190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chemeClr val="tx1">
                            <a:lumMod val="95000"/>
                            <a:lumOff val="5000"/>
                          </a:schemeClr>
                        </a:solidFill>
                        <a:latin typeface="Century Gothic" panose="020B0502020202020204" pitchFamily="34" charset="0"/>
                      </a:rPr>
                      <a:t>(</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  </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a:t>
                    </a:r>
                  </a:p>
                </xdr:txBody>
              </xdr:sp>
              <xdr:sp macro="" textlink="$W$28">
                <xdr:nvSpPr>
                  <xdr:cNvPr id="630" name="Rectángulo 629">
                    <a:extLst>
                      <a:ext uri="{FF2B5EF4-FFF2-40B4-BE49-F238E27FC236}">
                        <a16:creationId xmlns:a16="http://schemas.microsoft.com/office/drawing/2014/main" id="{00000000-0008-0000-0A00-000076020000}"/>
                      </a:ext>
                    </a:extLst>
                  </xdr:cNvPr>
                  <xdr:cNvSpPr/>
                </xdr:nvSpPr>
                <xdr:spPr>
                  <a:xfrm>
                    <a:off x="17989607" y="1791997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44D1A9E-5A82-4160-8A7B-468AADD86656}" type="TxLink">
                      <a:rPr lang="en-US" sz="1100" b="1" i="0" u="none" strike="noStrike">
                        <a:solidFill>
                          <a:schemeClr val="tx1">
                            <a:lumMod val="95000"/>
                            <a:lumOff val="5000"/>
                          </a:schemeClr>
                        </a:solidFill>
                        <a:latin typeface="Century Gothic"/>
                      </a:rPr>
                      <a:pPr algn="ctr"/>
                      <a:t>-</a:t>
                    </a:fld>
                    <a:endParaRPr lang="es-CO" sz="1100" b="1">
                      <a:solidFill>
                        <a:schemeClr val="tx1">
                          <a:lumMod val="95000"/>
                          <a:lumOff val="5000"/>
                        </a:schemeClr>
                      </a:solidFill>
                    </a:endParaRPr>
                  </a:p>
                </xdr:txBody>
              </xdr:sp>
              <xdr:sp macro="" textlink="$K$28">
                <xdr:nvSpPr>
                  <xdr:cNvPr id="631" name="Rectángulo 630">
                    <a:extLst>
                      <a:ext uri="{FF2B5EF4-FFF2-40B4-BE49-F238E27FC236}">
                        <a16:creationId xmlns:a16="http://schemas.microsoft.com/office/drawing/2014/main" id="{00000000-0008-0000-0A00-000077020000}"/>
                      </a:ext>
                    </a:extLst>
                  </xdr:cNvPr>
                  <xdr:cNvSpPr/>
                </xdr:nvSpPr>
                <xdr:spPr>
                  <a:xfrm>
                    <a:off x="18275603" y="1791997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AA13C1-E294-4B8C-BEFF-DC806D88A057}" type="TxLink">
                      <a:rPr lang="en-US" sz="1100" b="1" i="0" u="none" strike="noStrike">
                        <a:solidFill>
                          <a:schemeClr val="tx1">
                            <a:lumMod val="95000"/>
                            <a:lumOff val="5000"/>
                          </a:schemeClr>
                        </a:solidFill>
                        <a:latin typeface="Century Gothic"/>
                      </a:rPr>
                      <a:pPr algn="ctr"/>
                      <a:t>-</a:t>
                    </a:fld>
                    <a:endParaRPr lang="es-CO" sz="1100" b="1">
                      <a:solidFill>
                        <a:schemeClr val="tx1">
                          <a:lumMod val="95000"/>
                          <a:lumOff val="5000"/>
                        </a:schemeClr>
                      </a:solidFill>
                    </a:endParaRPr>
                  </a:p>
                </xdr:txBody>
              </xdr:sp>
            </xdr:grpSp>
          </xdr:grpSp>
        </xdr:grpSp>
        <xdr:grpSp>
          <xdr:nvGrpSpPr>
            <xdr:cNvPr id="1160" name="Grupo 1159">
              <a:extLst>
                <a:ext uri="{FF2B5EF4-FFF2-40B4-BE49-F238E27FC236}">
                  <a16:creationId xmlns:a16="http://schemas.microsoft.com/office/drawing/2014/main" id="{00000000-0008-0000-0A00-000088040000}"/>
                </a:ext>
              </a:extLst>
            </xdr:cNvPr>
            <xdr:cNvGrpSpPr/>
          </xdr:nvGrpSpPr>
          <xdr:grpSpPr>
            <a:xfrm>
              <a:off x="12034121" y="13753606"/>
              <a:ext cx="10833033" cy="1945018"/>
              <a:chOff x="12034121" y="13753606"/>
              <a:chExt cx="10833033" cy="1945018"/>
            </a:xfrm>
          </xdr:grpSpPr>
          <xdr:grpSp>
            <xdr:nvGrpSpPr>
              <xdr:cNvPr id="898" name="Grupo 897">
                <a:extLst>
                  <a:ext uri="{FF2B5EF4-FFF2-40B4-BE49-F238E27FC236}">
                    <a16:creationId xmlns:a16="http://schemas.microsoft.com/office/drawing/2014/main" id="{00000000-0008-0000-0A00-000082030000}"/>
                  </a:ext>
                </a:extLst>
              </xdr:cNvPr>
              <xdr:cNvGrpSpPr/>
            </xdr:nvGrpSpPr>
            <xdr:grpSpPr>
              <a:xfrm>
                <a:off x="16784752" y="14895774"/>
                <a:ext cx="2158192" cy="744715"/>
                <a:chOff x="16755119" y="14887307"/>
                <a:chExt cx="2158192" cy="753182"/>
              </a:xfrm>
            </xdr:grpSpPr>
            <xdr:grpSp>
              <xdr:nvGrpSpPr>
                <xdr:cNvPr id="191" name="Grupo 190">
                  <a:extLst>
                    <a:ext uri="{FF2B5EF4-FFF2-40B4-BE49-F238E27FC236}">
                      <a16:creationId xmlns:a16="http://schemas.microsoft.com/office/drawing/2014/main" id="{00000000-0008-0000-0A00-0000BF000000}"/>
                    </a:ext>
                  </a:extLst>
                </xdr:cNvPr>
                <xdr:cNvGrpSpPr/>
              </xdr:nvGrpSpPr>
              <xdr:grpSpPr>
                <a:xfrm>
                  <a:off x="16755119" y="14887307"/>
                  <a:ext cx="2158192" cy="753182"/>
                  <a:chOff x="28351843" y="12458683"/>
                  <a:chExt cx="2160000" cy="726638"/>
                </a:xfrm>
              </xdr:grpSpPr>
              <xdr:sp macro="" textlink="">
                <xdr:nvSpPr>
                  <xdr:cNvPr id="196" name="Cheurón 195">
                    <a:extLst>
                      <a:ext uri="{FF2B5EF4-FFF2-40B4-BE49-F238E27FC236}">
                        <a16:creationId xmlns:a16="http://schemas.microsoft.com/office/drawing/2014/main" id="{00000000-0008-0000-0A00-0000C4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97" name="CuadroTexto 196">
                    <a:extLst>
                      <a:ext uri="{FF2B5EF4-FFF2-40B4-BE49-F238E27FC236}">
                        <a16:creationId xmlns:a16="http://schemas.microsoft.com/office/drawing/2014/main" id="{00000000-0008-0000-0A00-0000C5000000}"/>
                      </a:ext>
                    </a:extLst>
                  </xdr:cNvPr>
                  <xdr:cNvSpPr txBox="1"/>
                </xdr:nvSpPr>
                <xdr:spPr>
                  <a:xfrm>
                    <a:off x="2842117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X$26">
                <xdr:nvSpPr>
                  <xdr:cNvPr id="198" name="Rectángulo redondeado 197">
                    <a:extLst>
                      <a:ext uri="{FF2B5EF4-FFF2-40B4-BE49-F238E27FC236}">
                        <a16:creationId xmlns:a16="http://schemas.microsoft.com/office/drawing/2014/main" id="{00000000-0008-0000-0A00-0000C6000000}"/>
                      </a:ext>
                    </a:extLst>
                  </xdr:cNvPr>
                  <xdr:cNvSpPr/>
                </xdr:nvSpPr>
                <xdr:spPr>
                  <a:xfrm>
                    <a:off x="29539922" y="12565424"/>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F14B772-6399-40AA-BAD0-832D35E26479}" type="TxLink">
                      <a:rPr lang="en-US" sz="1600" b="1" i="0" u="none" strike="noStrike">
                        <a:solidFill>
                          <a:srgbClr val="FFFF00"/>
                        </a:solidFill>
                        <a:latin typeface="Century Gothic"/>
                      </a:rPr>
                      <a:pPr algn="ctr"/>
                      <a:t>20,0%</a:t>
                    </a:fld>
                    <a:endParaRPr lang="es-CO" sz="4400">
                      <a:solidFill>
                        <a:srgbClr val="FFFF00"/>
                      </a:solidFill>
                    </a:endParaRPr>
                  </a:p>
                </xdr:txBody>
              </xdr:sp>
            </xdr:grpSp>
            <xdr:grpSp>
              <xdr:nvGrpSpPr>
                <xdr:cNvPr id="641" name="Grupo 640">
                  <a:extLst>
                    <a:ext uri="{FF2B5EF4-FFF2-40B4-BE49-F238E27FC236}">
                      <a16:creationId xmlns:a16="http://schemas.microsoft.com/office/drawing/2014/main" id="{00000000-0008-0000-0A00-000081020000}"/>
                    </a:ext>
                  </a:extLst>
                </xdr:cNvPr>
                <xdr:cNvGrpSpPr/>
              </xdr:nvGrpSpPr>
              <xdr:grpSpPr>
                <a:xfrm>
                  <a:off x="17973656" y="15355669"/>
                  <a:ext cx="825525" cy="283551"/>
                  <a:chOff x="17958262" y="16577754"/>
                  <a:chExt cx="825525" cy="275854"/>
                </a:xfrm>
              </xdr:grpSpPr>
              <xdr:sp macro="" textlink="">
                <xdr:nvSpPr>
                  <xdr:cNvPr id="623" name="CuadroTexto 622">
                    <a:extLst>
                      <a:ext uri="{FF2B5EF4-FFF2-40B4-BE49-F238E27FC236}">
                        <a16:creationId xmlns:a16="http://schemas.microsoft.com/office/drawing/2014/main" id="{00000000-0008-0000-0A00-00006F020000}"/>
                      </a:ext>
                    </a:extLst>
                  </xdr:cNvPr>
                  <xdr:cNvSpPr txBox="1"/>
                </xdr:nvSpPr>
                <xdr:spPr>
                  <a:xfrm>
                    <a:off x="17958262" y="16579690"/>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6">
                <xdr:nvSpPr>
                  <xdr:cNvPr id="624" name="Rectángulo 623">
                    <a:extLst>
                      <a:ext uri="{FF2B5EF4-FFF2-40B4-BE49-F238E27FC236}">
                        <a16:creationId xmlns:a16="http://schemas.microsoft.com/office/drawing/2014/main" id="{00000000-0008-0000-0A00-000070020000}"/>
                      </a:ext>
                    </a:extLst>
                  </xdr:cNvPr>
                  <xdr:cNvSpPr/>
                </xdr:nvSpPr>
                <xdr:spPr>
                  <a:xfrm>
                    <a:off x="18013854" y="1657775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3509323-1E08-4B33-B1B9-F0440CD587E8}"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K$26">
                <xdr:nvSpPr>
                  <xdr:cNvPr id="625" name="Rectángulo 624">
                    <a:extLst>
                      <a:ext uri="{FF2B5EF4-FFF2-40B4-BE49-F238E27FC236}">
                        <a16:creationId xmlns:a16="http://schemas.microsoft.com/office/drawing/2014/main" id="{00000000-0008-0000-0A00-000071020000}"/>
                      </a:ext>
                    </a:extLst>
                  </xdr:cNvPr>
                  <xdr:cNvSpPr/>
                </xdr:nvSpPr>
                <xdr:spPr>
                  <a:xfrm>
                    <a:off x="18299850" y="1657775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C70EFFCE-7401-4149-9DC7-126244A62E4C}" type="TxLink">
                      <a:rPr lang="en-US" sz="1100" b="1" i="0" u="none" strike="noStrike">
                        <a:solidFill>
                          <a:srgbClr val="FFFF00"/>
                        </a:solidFill>
                        <a:latin typeface="Century Gothic"/>
                      </a:rPr>
                      <a:pPr algn="ctr"/>
                      <a:t>10</a:t>
                    </a:fld>
                    <a:endParaRPr lang="es-CO" sz="1100" b="1">
                      <a:solidFill>
                        <a:srgbClr val="FFFF00"/>
                      </a:solidFill>
                    </a:endParaRPr>
                  </a:p>
                </xdr:txBody>
              </xdr:sp>
            </xdr:grpSp>
          </xdr:grpSp>
          <xdr:grpSp>
            <xdr:nvGrpSpPr>
              <xdr:cNvPr id="185" name="Grupo 184">
                <a:extLst>
                  <a:ext uri="{FF2B5EF4-FFF2-40B4-BE49-F238E27FC236}">
                    <a16:creationId xmlns:a16="http://schemas.microsoft.com/office/drawing/2014/main" id="{00000000-0008-0000-0A00-0000B9000000}"/>
                  </a:ext>
                </a:extLst>
              </xdr:cNvPr>
              <xdr:cNvGrpSpPr/>
            </xdr:nvGrpSpPr>
            <xdr:grpSpPr>
              <a:xfrm>
                <a:off x="12034121" y="14046320"/>
                <a:ext cx="721666" cy="1652304"/>
                <a:chOff x="27415455" y="8406495"/>
                <a:chExt cx="720604" cy="1610348"/>
              </a:xfrm>
            </xdr:grpSpPr>
            <xdr:sp macro="" textlink="">
              <xdr:nvSpPr>
                <xdr:cNvPr id="217" name="Rectángulo 216">
                  <a:extLst>
                    <a:ext uri="{FF2B5EF4-FFF2-40B4-BE49-F238E27FC236}">
                      <a16:creationId xmlns:a16="http://schemas.microsoft.com/office/drawing/2014/main" id="{00000000-0008-0000-0A00-0000D9000000}"/>
                    </a:ext>
                  </a:extLst>
                </xdr:cNvPr>
                <xdr:cNvSpPr/>
              </xdr:nvSpPr>
              <xdr:spPr>
                <a:xfrm>
                  <a:off x="27415455" y="8450034"/>
                  <a:ext cx="720604"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18" name="CuadroTexto 217">
                  <a:extLst>
                    <a:ext uri="{FF2B5EF4-FFF2-40B4-BE49-F238E27FC236}">
                      <a16:creationId xmlns:a16="http://schemas.microsoft.com/office/drawing/2014/main" id="{00000000-0008-0000-0A00-0000DA000000}"/>
                    </a:ext>
                  </a:extLst>
                </xdr:cNvPr>
                <xdr:cNvSpPr txBox="1"/>
              </xdr:nvSpPr>
              <xdr:spPr>
                <a:xfrm rot="16200000">
                  <a:off x="26959463"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183" name="Flecha abajo 182">
                <a:extLst>
                  <a:ext uri="{FF2B5EF4-FFF2-40B4-BE49-F238E27FC236}">
                    <a16:creationId xmlns:a16="http://schemas.microsoft.com/office/drawing/2014/main" id="{00000000-0008-0000-0A00-0000B7000000}"/>
                  </a:ext>
                </a:extLst>
              </xdr:cNvPr>
              <xdr:cNvSpPr/>
            </xdr:nvSpPr>
            <xdr:spPr>
              <a:xfrm rot="10800000">
                <a:off x="17419862" y="13753606"/>
                <a:ext cx="468690" cy="295503"/>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43" name="Grupo 642">
                <a:extLst>
                  <a:ext uri="{FF2B5EF4-FFF2-40B4-BE49-F238E27FC236}">
                    <a16:creationId xmlns:a16="http://schemas.microsoft.com/office/drawing/2014/main" id="{00000000-0008-0000-0A00-000083020000}"/>
                  </a:ext>
                </a:extLst>
              </xdr:cNvPr>
              <xdr:cNvGrpSpPr/>
            </xdr:nvGrpSpPr>
            <xdr:grpSpPr>
              <a:xfrm>
                <a:off x="12857431" y="14099363"/>
                <a:ext cx="2163185" cy="749484"/>
                <a:chOff x="12820100" y="15204109"/>
                <a:chExt cx="2157065" cy="743322"/>
              </a:xfrm>
            </xdr:grpSpPr>
            <xdr:grpSp>
              <xdr:nvGrpSpPr>
                <xdr:cNvPr id="184" name="Grupo 183">
                  <a:extLst>
                    <a:ext uri="{FF2B5EF4-FFF2-40B4-BE49-F238E27FC236}">
                      <a16:creationId xmlns:a16="http://schemas.microsoft.com/office/drawing/2014/main" id="{00000000-0008-0000-0A00-0000B8000000}"/>
                    </a:ext>
                  </a:extLst>
                </xdr:cNvPr>
                <xdr:cNvGrpSpPr/>
              </xdr:nvGrpSpPr>
              <xdr:grpSpPr>
                <a:xfrm>
                  <a:off x="12820100" y="15204109"/>
                  <a:ext cx="2157065" cy="739441"/>
                  <a:chOff x="28351843" y="12458683"/>
                  <a:chExt cx="2160000" cy="726638"/>
                </a:xfrm>
              </xdr:grpSpPr>
              <xdr:sp macro="" textlink="">
                <xdr:nvSpPr>
                  <xdr:cNvPr id="219" name="Cheurón 218">
                    <a:extLst>
                      <a:ext uri="{FF2B5EF4-FFF2-40B4-BE49-F238E27FC236}">
                        <a16:creationId xmlns:a16="http://schemas.microsoft.com/office/drawing/2014/main" id="{00000000-0008-0000-0A00-0000DB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20" name="CuadroTexto 219">
                    <a:extLst>
                      <a:ext uri="{FF2B5EF4-FFF2-40B4-BE49-F238E27FC236}">
                        <a16:creationId xmlns:a16="http://schemas.microsoft.com/office/drawing/2014/main" id="{00000000-0008-0000-0A00-0000DC00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X$20">
                <xdr:nvSpPr>
                  <xdr:cNvPr id="221" name="Rectángulo redondeado 220">
                    <a:extLst>
                      <a:ext uri="{FF2B5EF4-FFF2-40B4-BE49-F238E27FC236}">
                        <a16:creationId xmlns:a16="http://schemas.microsoft.com/office/drawing/2014/main" id="{00000000-0008-0000-0A00-0000DD000000}"/>
                      </a:ext>
                    </a:extLst>
                  </xdr:cNvPr>
                  <xdr:cNvSpPr/>
                </xdr:nvSpPr>
                <xdr:spPr>
                  <a:xfrm>
                    <a:off x="29557264" y="1257052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1591A4-99B2-4438-8C87-3D02429B92ED}" type="TxLink">
                      <a:rPr lang="en-US" sz="1600" b="1" i="0" u="none" strike="noStrike">
                        <a:solidFill>
                          <a:srgbClr val="FFFF00"/>
                        </a:solidFill>
                        <a:latin typeface="Century Gothic"/>
                      </a:rPr>
                      <a:pPr algn="ctr"/>
                      <a:t>30,0%</a:t>
                    </a:fld>
                    <a:endParaRPr lang="es-CO" sz="2800">
                      <a:solidFill>
                        <a:srgbClr val="FFFF00"/>
                      </a:solidFill>
                    </a:endParaRPr>
                  </a:p>
                </xdr:txBody>
              </xdr:sp>
            </xdr:grpSp>
            <xdr:grpSp>
              <xdr:nvGrpSpPr>
                <xdr:cNvPr id="632" name="Grupo 631">
                  <a:extLst>
                    <a:ext uri="{FF2B5EF4-FFF2-40B4-BE49-F238E27FC236}">
                      <a16:creationId xmlns:a16="http://schemas.microsoft.com/office/drawing/2014/main" id="{00000000-0008-0000-0A00-000078020000}"/>
                    </a:ext>
                  </a:extLst>
                </xdr:cNvPr>
                <xdr:cNvGrpSpPr/>
              </xdr:nvGrpSpPr>
              <xdr:grpSpPr>
                <a:xfrm>
                  <a:off x="14033393" y="15671577"/>
                  <a:ext cx="825525" cy="275854"/>
                  <a:chOff x="14059370" y="15832199"/>
                  <a:chExt cx="825525" cy="275854"/>
                </a:xfrm>
              </xdr:grpSpPr>
              <xdr:sp macro="" textlink="">
                <xdr:nvSpPr>
                  <xdr:cNvPr id="604" name="CuadroTexto 603">
                    <a:extLst>
                      <a:ext uri="{FF2B5EF4-FFF2-40B4-BE49-F238E27FC236}">
                        <a16:creationId xmlns:a16="http://schemas.microsoft.com/office/drawing/2014/main" id="{00000000-0008-0000-0A00-00005C020000}"/>
                      </a:ext>
                    </a:extLst>
                  </xdr:cNvPr>
                  <xdr:cNvSpPr txBox="1"/>
                </xdr:nvSpPr>
                <xdr:spPr>
                  <a:xfrm>
                    <a:off x="14059370" y="15834135"/>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b="0" i="0">
                        <a:solidFill>
                          <a:srgbClr val="FFFF00"/>
                        </a:solidFill>
                        <a:latin typeface="Century Gothic" panose="020B0502020202020204" pitchFamily="34" charset="0"/>
                      </a:rPr>
                      <a:t>(</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  </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a:t>
                    </a:r>
                  </a:p>
                </xdr:txBody>
              </xdr:sp>
              <xdr:sp macro="" textlink="$W$20">
                <xdr:nvSpPr>
                  <xdr:cNvPr id="605" name="Rectángulo 604">
                    <a:extLst>
                      <a:ext uri="{FF2B5EF4-FFF2-40B4-BE49-F238E27FC236}">
                        <a16:creationId xmlns:a16="http://schemas.microsoft.com/office/drawing/2014/main" id="{00000000-0008-0000-0A00-00005D020000}"/>
                      </a:ext>
                    </a:extLst>
                  </xdr:cNvPr>
                  <xdr:cNvSpPr/>
                </xdr:nvSpPr>
                <xdr:spPr>
                  <a:xfrm>
                    <a:off x="14112075" y="1583219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62A09B3C-8EE8-4317-88A8-0AC55F7494E7}"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K$20">
                <xdr:nvSpPr>
                  <xdr:cNvPr id="606" name="Rectángulo 605">
                    <a:extLst>
                      <a:ext uri="{FF2B5EF4-FFF2-40B4-BE49-F238E27FC236}">
                        <a16:creationId xmlns:a16="http://schemas.microsoft.com/office/drawing/2014/main" id="{00000000-0008-0000-0A00-00005E020000}"/>
                      </a:ext>
                    </a:extLst>
                  </xdr:cNvPr>
                  <xdr:cNvSpPr/>
                </xdr:nvSpPr>
                <xdr:spPr>
                  <a:xfrm>
                    <a:off x="14398071" y="1583219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DA36E6B-B3D1-46AA-BF3E-F24590E8CDED}" type="TxLink">
                      <a:rPr lang="en-US" sz="1100" b="1" i="0" u="none" strike="noStrike">
                        <a:solidFill>
                          <a:srgbClr val="FFFF00"/>
                        </a:solidFill>
                        <a:latin typeface="Century Gothic"/>
                      </a:rPr>
                      <a:pPr algn="ctr"/>
                      <a:t>40</a:t>
                    </a:fld>
                    <a:endParaRPr lang="es-CO" sz="1100" b="1">
                      <a:solidFill>
                        <a:srgbClr val="FFFF00"/>
                      </a:solidFill>
                    </a:endParaRPr>
                  </a:p>
                </xdr:txBody>
              </xdr:sp>
            </xdr:grpSp>
          </xdr:grpSp>
          <xdr:grpSp>
            <xdr:nvGrpSpPr>
              <xdr:cNvPr id="644" name="Grupo 643">
                <a:extLst>
                  <a:ext uri="{FF2B5EF4-FFF2-40B4-BE49-F238E27FC236}">
                    <a16:creationId xmlns:a16="http://schemas.microsoft.com/office/drawing/2014/main" id="{00000000-0008-0000-0A00-000084020000}"/>
                  </a:ext>
                </a:extLst>
              </xdr:cNvPr>
              <xdr:cNvGrpSpPr/>
            </xdr:nvGrpSpPr>
            <xdr:grpSpPr>
              <a:xfrm>
                <a:off x="14808847" y="14099363"/>
                <a:ext cx="2171832" cy="749484"/>
                <a:chOff x="14765995" y="15204109"/>
                <a:chExt cx="2165688" cy="743322"/>
              </a:xfrm>
            </xdr:grpSpPr>
            <xdr:grpSp>
              <xdr:nvGrpSpPr>
                <xdr:cNvPr id="186" name="Grupo 185">
                  <a:extLst>
                    <a:ext uri="{FF2B5EF4-FFF2-40B4-BE49-F238E27FC236}">
                      <a16:creationId xmlns:a16="http://schemas.microsoft.com/office/drawing/2014/main" id="{00000000-0008-0000-0A00-0000BA000000}"/>
                    </a:ext>
                  </a:extLst>
                </xdr:cNvPr>
                <xdr:cNvGrpSpPr/>
              </xdr:nvGrpSpPr>
              <xdr:grpSpPr>
                <a:xfrm>
                  <a:off x="14765995" y="15204109"/>
                  <a:ext cx="2165688" cy="739441"/>
                  <a:chOff x="28351843" y="12458683"/>
                  <a:chExt cx="2168635" cy="726638"/>
                </a:xfrm>
              </xdr:grpSpPr>
              <xdr:sp macro="" textlink="">
                <xdr:nvSpPr>
                  <xdr:cNvPr id="214" name="Cheurón 213">
                    <a:extLst>
                      <a:ext uri="{FF2B5EF4-FFF2-40B4-BE49-F238E27FC236}">
                        <a16:creationId xmlns:a16="http://schemas.microsoft.com/office/drawing/2014/main" id="{00000000-0008-0000-0A00-0000D6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15" name="CuadroTexto 214">
                    <a:extLst>
                      <a:ext uri="{FF2B5EF4-FFF2-40B4-BE49-F238E27FC236}">
                        <a16:creationId xmlns:a16="http://schemas.microsoft.com/office/drawing/2014/main" id="{00000000-0008-0000-0A00-0000D700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X$21">
                <xdr:nvSpPr>
                  <xdr:cNvPr id="216" name="Rectángulo redondeado 215">
                    <a:extLst>
                      <a:ext uri="{FF2B5EF4-FFF2-40B4-BE49-F238E27FC236}">
                        <a16:creationId xmlns:a16="http://schemas.microsoft.com/office/drawing/2014/main" id="{00000000-0008-0000-0A00-0000D800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7D72A0-69F4-4BB2-A822-53CAE2C40151}" type="TxLink">
                      <a:rPr lang="en-US" sz="1600" b="1" i="0" u="none" strike="noStrike">
                        <a:solidFill>
                          <a:srgbClr val="FFFF00"/>
                        </a:solidFill>
                        <a:latin typeface="Century Gothic"/>
                      </a:rPr>
                      <a:pPr algn="ctr"/>
                      <a:t>0,9%</a:t>
                    </a:fld>
                    <a:endParaRPr lang="es-CO" sz="3600">
                      <a:solidFill>
                        <a:srgbClr val="FFFF00"/>
                      </a:solidFill>
                    </a:endParaRPr>
                  </a:p>
                </xdr:txBody>
              </xdr:sp>
            </xdr:grpSp>
            <xdr:grpSp>
              <xdr:nvGrpSpPr>
                <xdr:cNvPr id="633" name="Grupo 632">
                  <a:extLst>
                    <a:ext uri="{FF2B5EF4-FFF2-40B4-BE49-F238E27FC236}">
                      <a16:creationId xmlns:a16="http://schemas.microsoft.com/office/drawing/2014/main" id="{00000000-0008-0000-0A00-000079020000}"/>
                    </a:ext>
                  </a:extLst>
                </xdr:cNvPr>
                <xdr:cNvGrpSpPr/>
              </xdr:nvGrpSpPr>
              <xdr:grpSpPr>
                <a:xfrm>
                  <a:off x="15995542" y="15671577"/>
                  <a:ext cx="825525" cy="275854"/>
                  <a:chOff x="16012860" y="15776783"/>
                  <a:chExt cx="825525" cy="275854"/>
                </a:xfrm>
              </xdr:grpSpPr>
              <xdr:sp macro="" textlink="">
                <xdr:nvSpPr>
                  <xdr:cNvPr id="608" name="CuadroTexto 607">
                    <a:extLst>
                      <a:ext uri="{FF2B5EF4-FFF2-40B4-BE49-F238E27FC236}">
                        <a16:creationId xmlns:a16="http://schemas.microsoft.com/office/drawing/2014/main" id="{00000000-0008-0000-0A00-000060020000}"/>
                      </a:ext>
                    </a:extLst>
                  </xdr:cNvPr>
                  <xdr:cNvSpPr txBox="1"/>
                </xdr:nvSpPr>
                <xdr:spPr>
                  <a:xfrm>
                    <a:off x="16012860" y="1577871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1">
                <xdr:nvSpPr>
                  <xdr:cNvPr id="609" name="Rectángulo 608">
                    <a:extLst>
                      <a:ext uri="{FF2B5EF4-FFF2-40B4-BE49-F238E27FC236}">
                        <a16:creationId xmlns:a16="http://schemas.microsoft.com/office/drawing/2014/main" id="{00000000-0008-0000-0A00-000061020000}"/>
                      </a:ext>
                    </a:extLst>
                  </xdr:cNvPr>
                  <xdr:cNvSpPr/>
                </xdr:nvSpPr>
                <xdr:spPr>
                  <a:xfrm>
                    <a:off x="16039588" y="1577678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BAEC7CF-A364-4E4D-A8A1-C10568A38523}" type="TxLink">
                      <a:rPr lang="en-US" sz="1100" b="1" i="0" u="none" strike="noStrike">
                        <a:solidFill>
                          <a:srgbClr val="FFFF00"/>
                        </a:solidFill>
                        <a:latin typeface="Century Gothic"/>
                      </a:rPr>
                      <a:pPr algn="ctr"/>
                      <a:t>1</a:t>
                    </a:fld>
                    <a:endParaRPr lang="es-CO" sz="1100" b="1">
                      <a:solidFill>
                        <a:srgbClr val="FFFF00"/>
                      </a:solidFill>
                    </a:endParaRPr>
                  </a:p>
                </xdr:txBody>
              </xdr:sp>
              <xdr:sp macro="" textlink="$K$21">
                <xdr:nvSpPr>
                  <xdr:cNvPr id="610" name="Rectángulo 609">
                    <a:extLst>
                      <a:ext uri="{FF2B5EF4-FFF2-40B4-BE49-F238E27FC236}">
                        <a16:creationId xmlns:a16="http://schemas.microsoft.com/office/drawing/2014/main" id="{00000000-0008-0000-0A00-000062020000}"/>
                      </a:ext>
                    </a:extLst>
                  </xdr:cNvPr>
                  <xdr:cNvSpPr/>
                </xdr:nvSpPr>
                <xdr:spPr>
                  <a:xfrm>
                    <a:off x="16325584" y="1577678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C43F85B6-6953-4072-87E0-788A089EFDC5}" type="TxLink">
                      <a:rPr lang="en-US" sz="1100" b="1" i="0" u="none" strike="noStrike">
                        <a:solidFill>
                          <a:srgbClr val="FFFF00"/>
                        </a:solidFill>
                        <a:latin typeface="Century Gothic"/>
                      </a:rPr>
                      <a:pPr algn="ctr"/>
                      <a:t>110</a:t>
                    </a:fld>
                    <a:endParaRPr lang="es-CO" sz="1100" b="1">
                      <a:solidFill>
                        <a:srgbClr val="FFFF00"/>
                      </a:solidFill>
                    </a:endParaRPr>
                  </a:p>
                </xdr:txBody>
              </xdr:sp>
            </xdr:grpSp>
          </xdr:grpSp>
          <xdr:grpSp>
            <xdr:nvGrpSpPr>
              <xdr:cNvPr id="645" name="Grupo 644">
                <a:extLst>
                  <a:ext uri="{FF2B5EF4-FFF2-40B4-BE49-F238E27FC236}">
                    <a16:creationId xmlns:a16="http://schemas.microsoft.com/office/drawing/2014/main" id="{00000000-0008-0000-0A00-000085020000}"/>
                  </a:ext>
                </a:extLst>
              </xdr:cNvPr>
              <xdr:cNvGrpSpPr/>
            </xdr:nvGrpSpPr>
            <xdr:grpSpPr>
              <a:xfrm>
                <a:off x="16773883" y="14099362"/>
                <a:ext cx="2171832" cy="749485"/>
                <a:chOff x="16725472" y="15204109"/>
                <a:chExt cx="2165688" cy="743323"/>
              </a:xfrm>
            </xdr:grpSpPr>
            <xdr:grpSp>
              <xdr:nvGrpSpPr>
                <xdr:cNvPr id="187" name="Grupo 186">
                  <a:extLst>
                    <a:ext uri="{FF2B5EF4-FFF2-40B4-BE49-F238E27FC236}">
                      <a16:creationId xmlns:a16="http://schemas.microsoft.com/office/drawing/2014/main" id="{00000000-0008-0000-0A00-0000BB000000}"/>
                    </a:ext>
                  </a:extLst>
                </xdr:cNvPr>
                <xdr:cNvGrpSpPr/>
              </xdr:nvGrpSpPr>
              <xdr:grpSpPr>
                <a:xfrm>
                  <a:off x="16725472" y="15204109"/>
                  <a:ext cx="2165688" cy="739441"/>
                  <a:chOff x="28351843" y="12458683"/>
                  <a:chExt cx="2168635" cy="726638"/>
                </a:xfrm>
              </xdr:grpSpPr>
              <xdr:sp macro="" textlink="">
                <xdr:nvSpPr>
                  <xdr:cNvPr id="211" name="Cheurón 210">
                    <a:extLst>
                      <a:ext uri="{FF2B5EF4-FFF2-40B4-BE49-F238E27FC236}">
                        <a16:creationId xmlns:a16="http://schemas.microsoft.com/office/drawing/2014/main" id="{00000000-0008-0000-0A00-0000D3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12" name="CuadroTexto 211">
                    <a:extLst>
                      <a:ext uri="{FF2B5EF4-FFF2-40B4-BE49-F238E27FC236}">
                        <a16:creationId xmlns:a16="http://schemas.microsoft.com/office/drawing/2014/main" id="{00000000-0008-0000-0A00-0000D4000000}"/>
                      </a:ext>
                    </a:extLst>
                  </xdr:cNvPr>
                  <xdr:cNvSpPr txBox="1"/>
                </xdr:nvSpPr>
                <xdr:spPr>
                  <a:xfrm>
                    <a:off x="28452122"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X$22">
                <xdr:nvSpPr>
                  <xdr:cNvPr id="213" name="Rectángulo redondeado 212">
                    <a:extLst>
                      <a:ext uri="{FF2B5EF4-FFF2-40B4-BE49-F238E27FC236}">
                        <a16:creationId xmlns:a16="http://schemas.microsoft.com/office/drawing/2014/main" id="{00000000-0008-0000-0A00-0000D500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A1C176-E0AA-42AE-9DC1-4C3F2D9FCA9A}" type="TxLink">
                      <a:rPr lang="en-US" sz="1600" b="1" i="0" u="none" strike="noStrike">
                        <a:solidFill>
                          <a:srgbClr val="FFFF00"/>
                        </a:solidFill>
                        <a:latin typeface="Century Gothic"/>
                      </a:rPr>
                      <a:pPr algn="ctr"/>
                      <a:t>0,0%</a:t>
                    </a:fld>
                    <a:endParaRPr lang="es-CO" sz="4400">
                      <a:solidFill>
                        <a:srgbClr val="FFFF00"/>
                      </a:solidFill>
                    </a:endParaRPr>
                  </a:p>
                </xdr:txBody>
              </xdr:sp>
            </xdr:grpSp>
            <xdr:grpSp>
              <xdr:nvGrpSpPr>
                <xdr:cNvPr id="634" name="Grupo 633">
                  <a:extLst>
                    <a:ext uri="{FF2B5EF4-FFF2-40B4-BE49-F238E27FC236}">
                      <a16:creationId xmlns:a16="http://schemas.microsoft.com/office/drawing/2014/main" id="{00000000-0008-0000-0A00-00007A020000}"/>
                    </a:ext>
                  </a:extLst>
                </xdr:cNvPr>
                <xdr:cNvGrpSpPr/>
              </xdr:nvGrpSpPr>
              <xdr:grpSpPr>
                <a:xfrm>
                  <a:off x="17949031" y="15671575"/>
                  <a:ext cx="825525" cy="275857"/>
                  <a:chOff x="17966349" y="15786307"/>
                  <a:chExt cx="825525" cy="275857"/>
                </a:xfrm>
              </xdr:grpSpPr>
              <xdr:sp macro="" textlink="">
                <xdr:nvSpPr>
                  <xdr:cNvPr id="611" name="CuadroTexto 610">
                    <a:extLst>
                      <a:ext uri="{FF2B5EF4-FFF2-40B4-BE49-F238E27FC236}">
                        <a16:creationId xmlns:a16="http://schemas.microsoft.com/office/drawing/2014/main" id="{00000000-0008-0000-0A00-000063020000}"/>
                      </a:ext>
                    </a:extLst>
                  </xdr:cNvPr>
                  <xdr:cNvSpPr txBox="1"/>
                </xdr:nvSpPr>
                <xdr:spPr>
                  <a:xfrm>
                    <a:off x="17966349" y="15788245"/>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2">
                <xdr:nvSpPr>
                  <xdr:cNvPr id="612" name="Rectángulo 611">
                    <a:extLst>
                      <a:ext uri="{FF2B5EF4-FFF2-40B4-BE49-F238E27FC236}">
                        <a16:creationId xmlns:a16="http://schemas.microsoft.com/office/drawing/2014/main" id="{00000000-0008-0000-0A00-000064020000}"/>
                      </a:ext>
                    </a:extLst>
                  </xdr:cNvPr>
                  <xdr:cNvSpPr/>
                </xdr:nvSpPr>
                <xdr:spPr>
                  <a:xfrm>
                    <a:off x="18019054" y="15786307"/>
                    <a:ext cx="432000" cy="2758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7E57002-4343-4440-8669-BA97229F26F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22">
                <xdr:nvSpPr>
                  <xdr:cNvPr id="613" name="Rectángulo 612">
                    <a:extLst>
                      <a:ext uri="{FF2B5EF4-FFF2-40B4-BE49-F238E27FC236}">
                        <a16:creationId xmlns:a16="http://schemas.microsoft.com/office/drawing/2014/main" id="{00000000-0008-0000-0A00-000065020000}"/>
                      </a:ext>
                    </a:extLst>
                  </xdr:cNvPr>
                  <xdr:cNvSpPr/>
                </xdr:nvSpPr>
                <xdr:spPr>
                  <a:xfrm>
                    <a:off x="18305050" y="1578631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E1E542E-CC07-4351-B8FC-13B4FCA9684E}" type="TxLink">
                      <a:rPr lang="en-US" sz="1100" b="1" i="0" u="none" strike="noStrike">
                        <a:solidFill>
                          <a:srgbClr val="FFFF00"/>
                        </a:solidFill>
                        <a:latin typeface="Century Gothic"/>
                      </a:rPr>
                      <a:pPr algn="ctr"/>
                      <a:t>16</a:t>
                    </a:fld>
                    <a:endParaRPr lang="es-CO" sz="1100" b="1">
                      <a:solidFill>
                        <a:srgbClr val="FFFF00"/>
                      </a:solidFill>
                    </a:endParaRPr>
                  </a:p>
                </xdr:txBody>
              </xdr:sp>
            </xdr:grpSp>
          </xdr:grpSp>
          <xdr:grpSp>
            <xdr:nvGrpSpPr>
              <xdr:cNvPr id="646" name="Grupo 645">
                <a:extLst>
                  <a:ext uri="{FF2B5EF4-FFF2-40B4-BE49-F238E27FC236}">
                    <a16:creationId xmlns:a16="http://schemas.microsoft.com/office/drawing/2014/main" id="{00000000-0008-0000-0A00-000086020000}"/>
                  </a:ext>
                </a:extLst>
              </xdr:cNvPr>
              <xdr:cNvGrpSpPr/>
            </xdr:nvGrpSpPr>
            <xdr:grpSpPr>
              <a:xfrm>
                <a:off x="18738927" y="14099363"/>
                <a:ext cx="2171832" cy="749484"/>
                <a:chOff x="18684957" y="15204109"/>
                <a:chExt cx="2165688" cy="743322"/>
              </a:xfrm>
            </xdr:grpSpPr>
            <xdr:grpSp>
              <xdr:nvGrpSpPr>
                <xdr:cNvPr id="188" name="Grupo 187">
                  <a:extLst>
                    <a:ext uri="{FF2B5EF4-FFF2-40B4-BE49-F238E27FC236}">
                      <a16:creationId xmlns:a16="http://schemas.microsoft.com/office/drawing/2014/main" id="{00000000-0008-0000-0A00-0000BC000000}"/>
                    </a:ext>
                  </a:extLst>
                </xdr:cNvPr>
                <xdr:cNvGrpSpPr/>
              </xdr:nvGrpSpPr>
              <xdr:grpSpPr>
                <a:xfrm>
                  <a:off x="18684957" y="15204109"/>
                  <a:ext cx="2165688" cy="739441"/>
                  <a:chOff x="28351843" y="12458683"/>
                  <a:chExt cx="2168635" cy="726638"/>
                </a:xfrm>
              </xdr:grpSpPr>
              <xdr:sp macro="" textlink="">
                <xdr:nvSpPr>
                  <xdr:cNvPr id="208" name="Cheurón 207">
                    <a:extLst>
                      <a:ext uri="{FF2B5EF4-FFF2-40B4-BE49-F238E27FC236}">
                        <a16:creationId xmlns:a16="http://schemas.microsoft.com/office/drawing/2014/main" id="{00000000-0008-0000-0A00-0000D0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9" name="CuadroTexto 208">
                    <a:extLst>
                      <a:ext uri="{FF2B5EF4-FFF2-40B4-BE49-F238E27FC236}">
                        <a16:creationId xmlns:a16="http://schemas.microsoft.com/office/drawing/2014/main" id="{00000000-0008-0000-0A00-0000D1000000}"/>
                      </a:ext>
                    </a:extLst>
                  </xdr:cNvPr>
                  <xdr:cNvSpPr txBox="1"/>
                </xdr:nvSpPr>
                <xdr:spPr>
                  <a:xfrm>
                    <a:off x="2846199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X$23">
                <xdr:nvSpPr>
                  <xdr:cNvPr id="210" name="Rectángulo redondeado 209">
                    <a:extLst>
                      <a:ext uri="{FF2B5EF4-FFF2-40B4-BE49-F238E27FC236}">
                        <a16:creationId xmlns:a16="http://schemas.microsoft.com/office/drawing/2014/main" id="{00000000-0008-0000-0A00-0000D200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2CA62E3-C21B-4951-9209-F068CF8DF0EA}" type="TxLink">
                      <a:rPr lang="en-US" sz="1600" b="1" i="0" u="none" strike="noStrike">
                        <a:solidFill>
                          <a:srgbClr val="FFFF00"/>
                        </a:solidFill>
                        <a:latin typeface="Century Gothic"/>
                      </a:rPr>
                      <a:pPr algn="ctr"/>
                      <a:t>0,0%</a:t>
                    </a:fld>
                    <a:endParaRPr lang="es-CO" sz="5400">
                      <a:solidFill>
                        <a:srgbClr val="FFFF00"/>
                      </a:solidFill>
                    </a:endParaRPr>
                  </a:p>
                </xdr:txBody>
              </xdr:sp>
            </xdr:grpSp>
            <xdr:grpSp>
              <xdr:nvGrpSpPr>
                <xdr:cNvPr id="635" name="Grupo 634">
                  <a:extLst>
                    <a:ext uri="{FF2B5EF4-FFF2-40B4-BE49-F238E27FC236}">
                      <a16:creationId xmlns:a16="http://schemas.microsoft.com/office/drawing/2014/main" id="{00000000-0008-0000-0A00-00007B020000}"/>
                    </a:ext>
                  </a:extLst>
                </xdr:cNvPr>
                <xdr:cNvGrpSpPr/>
              </xdr:nvGrpSpPr>
              <xdr:grpSpPr>
                <a:xfrm>
                  <a:off x="19902520" y="15671577"/>
                  <a:ext cx="825525" cy="275854"/>
                  <a:chOff x="19911179" y="15782847"/>
                  <a:chExt cx="825525" cy="275854"/>
                </a:xfrm>
              </xdr:grpSpPr>
              <xdr:sp macro="" textlink="">
                <xdr:nvSpPr>
                  <xdr:cNvPr id="614" name="CuadroTexto 613">
                    <a:extLst>
                      <a:ext uri="{FF2B5EF4-FFF2-40B4-BE49-F238E27FC236}">
                        <a16:creationId xmlns:a16="http://schemas.microsoft.com/office/drawing/2014/main" id="{00000000-0008-0000-0A00-000066020000}"/>
                      </a:ext>
                    </a:extLst>
                  </xdr:cNvPr>
                  <xdr:cNvSpPr txBox="1"/>
                </xdr:nvSpPr>
                <xdr:spPr>
                  <a:xfrm>
                    <a:off x="19911179" y="15784783"/>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3">
                <xdr:nvSpPr>
                  <xdr:cNvPr id="615" name="Rectángulo 614">
                    <a:extLst>
                      <a:ext uri="{FF2B5EF4-FFF2-40B4-BE49-F238E27FC236}">
                        <a16:creationId xmlns:a16="http://schemas.microsoft.com/office/drawing/2014/main" id="{00000000-0008-0000-0A00-000067020000}"/>
                      </a:ext>
                    </a:extLst>
                  </xdr:cNvPr>
                  <xdr:cNvSpPr/>
                </xdr:nvSpPr>
                <xdr:spPr>
                  <a:xfrm>
                    <a:off x="19963884" y="1578284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2D68F2D-D0BD-434F-94C6-4523BBE672FE}"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23">
                <xdr:nvSpPr>
                  <xdr:cNvPr id="616" name="Rectángulo 615">
                    <a:extLst>
                      <a:ext uri="{FF2B5EF4-FFF2-40B4-BE49-F238E27FC236}">
                        <a16:creationId xmlns:a16="http://schemas.microsoft.com/office/drawing/2014/main" id="{00000000-0008-0000-0A00-000068020000}"/>
                      </a:ext>
                    </a:extLst>
                  </xdr:cNvPr>
                  <xdr:cNvSpPr/>
                </xdr:nvSpPr>
                <xdr:spPr>
                  <a:xfrm>
                    <a:off x="20249880" y="1578284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9C59F2B9-FD8F-4A7F-B522-25B46C5AA52F}" type="TxLink">
                      <a:rPr lang="en-US" sz="1100" b="1" i="0" u="none" strike="noStrike">
                        <a:solidFill>
                          <a:srgbClr val="FFFF00"/>
                        </a:solidFill>
                        <a:latin typeface="Century Gothic"/>
                      </a:rPr>
                      <a:pPr algn="ctr"/>
                      <a:t>46</a:t>
                    </a:fld>
                    <a:endParaRPr lang="es-CO" sz="1100" b="1">
                      <a:solidFill>
                        <a:srgbClr val="FFFF00"/>
                      </a:solidFill>
                    </a:endParaRPr>
                  </a:p>
                </xdr:txBody>
              </xdr:sp>
            </xdr:grpSp>
          </xdr:grpSp>
          <xdr:grpSp>
            <xdr:nvGrpSpPr>
              <xdr:cNvPr id="647" name="Grupo 646">
                <a:extLst>
                  <a:ext uri="{FF2B5EF4-FFF2-40B4-BE49-F238E27FC236}">
                    <a16:creationId xmlns:a16="http://schemas.microsoft.com/office/drawing/2014/main" id="{00000000-0008-0000-0A00-000087020000}"/>
                  </a:ext>
                </a:extLst>
              </xdr:cNvPr>
              <xdr:cNvGrpSpPr/>
            </xdr:nvGrpSpPr>
            <xdr:grpSpPr>
              <a:xfrm>
                <a:off x="20703969" y="14099363"/>
                <a:ext cx="2163185" cy="749484"/>
                <a:chOff x="20644440" y="15204109"/>
                <a:chExt cx="2157065" cy="743322"/>
              </a:xfrm>
            </xdr:grpSpPr>
            <xdr:grpSp>
              <xdr:nvGrpSpPr>
                <xdr:cNvPr id="189" name="Grupo 188">
                  <a:extLst>
                    <a:ext uri="{FF2B5EF4-FFF2-40B4-BE49-F238E27FC236}">
                      <a16:creationId xmlns:a16="http://schemas.microsoft.com/office/drawing/2014/main" id="{00000000-0008-0000-0A00-0000BD000000}"/>
                    </a:ext>
                  </a:extLst>
                </xdr:cNvPr>
                <xdr:cNvGrpSpPr/>
              </xdr:nvGrpSpPr>
              <xdr:grpSpPr>
                <a:xfrm>
                  <a:off x="20644440" y="15204109"/>
                  <a:ext cx="2157065" cy="739441"/>
                  <a:chOff x="28351843" y="12458683"/>
                  <a:chExt cx="2160000" cy="726638"/>
                </a:xfrm>
              </xdr:grpSpPr>
              <xdr:sp macro="" textlink="">
                <xdr:nvSpPr>
                  <xdr:cNvPr id="205" name="Cheurón 204">
                    <a:extLst>
                      <a:ext uri="{FF2B5EF4-FFF2-40B4-BE49-F238E27FC236}">
                        <a16:creationId xmlns:a16="http://schemas.microsoft.com/office/drawing/2014/main" id="{00000000-0008-0000-0A00-0000CD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6" name="CuadroTexto 205">
                    <a:extLst>
                      <a:ext uri="{FF2B5EF4-FFF2-40B4-BE49-F238E27FC236}">
                        <a16:creationId xmlns:a16="http://schemas.microsoft.com/office/drawing/2014/main" id="{00000000-0008-0000-0A00-0000CE000000}"/>
                      </a:ext>
                    </a:extLst>
                  </xdr:cNvPr>
                  <xdr:cNvSpPr txBox="1"/>
                </xdr:nvSpPr>
                <xdr:spPr>
                  <a:xfrm>
                    <a:off x="2847066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X$24">
                <xdr:nvSpPr>
                  <xdr:cNvPr id="207" name="Rectángulo redondeado 206">
                    <a:extLst>
                      <a:ext uri="{FF2B5EF4-FFF2-40B4-BE49-F238E27FC236}">
                        <a16:creationId xmlns:a16="http://schemas.microsoft.com/office/drawing/2014/main" id="{00000000-0008-0000-0A00-0000CF000000}"/>
                      </a:ext>
                    </a:extLst>
                  </xdr:cNvPr>
                  <xdr:cNvSpPr/>
                </xdr:nvSpPr>
                <xdr:spPr>
                  <a:xfrm>
                    <a:off x="29570871"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74791C-B912-4113-B967-DEBC3CE6937B}" type="TxLink">
                      <a:rPr lang="en-US" sz="1600" b="1" i="0" u="none" strike="noStrike">
                        <a:solidFill>
                          <a:srgbClr val="FFFF00"/>
                        </a:solidFill>
                        <a:latin typeface="Century Gothic"/>
                      </a:rPr>
                      <a:pPr algn="ctr"/>
                      <a:t>0,0%</a:t>
                    </a:fld>
                    <a:endParaRPr lang="es-CO" sz="6600">
                      <a:solidFill>
                        <a:srgbClr val="FFFF00"/>
                      </a:solidFill>
                    </a:endParaRPr>
                  </a:p>
                </xdr:txBody>
              </xdr:sp>
            </xdr:grpSp>
            <xdr:grpSp>
              <xdr:nvGrpSpPr>
                <xdr:cNvPr id="636" name="Grupo 635">
                  <a:extLst>
                    <a:ext uri="{FF2B5EF4-FFF2-40B4-BE49-F238E27FC236}">
                      <a16:creationId xmlns:a16="http://schemas.microsoft.com/office/drawing/2014/main" id="{00000000-0008-0000-0A00-00007C020000}"/>
                    </a:ext>
                  </a:extLst>
                </xdr:cNvPr>
                <xdr:cNvGrpSpPr/>
              </xdr:nvGrpSpPr>
              <xdr:grpSpPr>
                <a:xfrm>
                  <a:off x="21838689" y="15671577"/>
                  <a:ext cx="825525" cy="275854"/>
                  <a:chOff x="21838689" y="15788044"/>
                  <a:chExt cx="825525" cy="275854"/>
                </a:xfrm>
              </xdr:grpSpPr>
              <xdr:sp macro="" textlink="">
                <xdr:nvSpPr>
                  <xdr:cNvPr id="617" name="CuadroTexto 616">
                    <a:extLst>
                      <a:ext uri="{FF2B5EF4-FFF2-40B4-BE49-F238E27FC236}">
                        <a16:creationId xmlns:a16="http://schemas.microsoft.com/office/drawing/2014/main" id="{00000000-0008-0000-0A00-000069020000}"/>
                      </a:ext>
                    </a:extLst>
                  </xdr:cNvPr>
                  <xdr:cNvSpPr txBox="1"/>
                </xdr:nvSpPr>
                <xdr:spPr>
                  <a:xfrm>
                    <a:off x="21838689" y="15789980"/>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4">
                <xdr:nvSpPr>
                  <xdr:cNvPr id="618" name="Rectángulo 617">
                    <a:extLst>
                      <a:ext uri="{FF2B5EF4-FFF2-40B4-BE49-F238E27FC236}">
                        <a16:creationId xmlns:a16="http://schemas.microsoft.com/office/drawing/2014/main" id="{00000000-0008-0000-0A00-00006A02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2491AC04-87B5-4991-8DC1-BD19353F0014}"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24">
                <xdr:nvSpPr>
                  <xdr:cNvPr id="619" name="Rectángulo 618">
                    <a:extLst>
                      <a:ext uri="{FF2B5EF4-FFF2-40B4-BE49-F238E27FC236}">
                        <a16:creationId xmlns:a16="http://schemas.microsoft.com/office/drawing/2014/main" id="{00000000-0008-0000-0A00-00006B02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8AFF456C-7794-4C48-A119-F5EAB382F4B5}" type="TxLink">
                      <a:rPr lang="en-US" sz="1100" b="1" i="0" u="none" strike="noStrike">
                        <a:solidFill>
                          <a:srgbClr val="FFFF00"/>
                        </a:solidFill>
                        <a:latin typeface="Century Gothic"/>
                      </a:rPr>
                      <a:pPr algn="ctr"/>
                      <a:t>8</a:t>
                    </a:fld>
                    <a:endParaRPr lang="es-CO" sz="1100" b="1">
                      <a:solidFill>
                        <a:srgbClr val="FFFF00"/>
                      </a:solidFill>
                    </a:endParaRPr>
                  </a:p>
                </xdr:txBody>
              </xdr:sp>
            </xdr:grpSp>
          </xdr:grpSp>
          <xdr:grpSp>
            <xdr:nvGrpSpPr>
              <xdr:cNvPr id="899" name="Grupo 898">
                <a:extLst>
                  <a:ext uri="{FF2B5EF4-FFF2-40B4-BE49-F238E27FC236}">
                    <a16:creationId xmlns:a16="http://schemas.microsoft.com/office/drawing/2014/main" id="{00000000-0008-0000-0A00-000083030000}"/>
                  </a:ext>
                </a:extLst>
              </xdr:cNvPr>
              <xdr:cNvGrpSpPr/>
            </xdr:nvGrpSpPr>
            <xdr:grpSpPr>
              <a:xfrm>
                <a:off x="18752551" y="14897972"/>
                <a:ext cx="2163185" cy="762473"/>
                <a:chOff x="18715620" y="14890129"/>
                <a:chExt cx="2158192" cy="770257"/>
              </a:xfrm>
            </xdr:grpSpPr>
            <xdr:grpSp>
              <xdr:nvGrpSpPr>
                <xdr:cNvPr id="192" name="Grupo 191">
                  <a:extLst>
                    <a:ext uri="{FF2B5EF4-FFF2-40B4-BE49-F238E27FC236}">
                      <a16:creationId xmlns:a16="http://schemas.microsoft.com/office/drawing/2014/main" id="{00000000-0008-0000-0A00-0000C0000000}"/>
                    </a:ext>
                  </a:extLst>
                </xdr:cNvPr>
                <xdr:cNvGrpSpPr/>
              </xdr:nvGrpSpPr>
              <xdr:grpSpPr>
                <a:xfrm>
                  <a:off x="18715620" y="14890129"/>
                  <a:ext cx="2158192" cy="753182"/>
                  <a:chOff x="28351843" y="12458683"/>
                  <a:chExt cx="2160000" cy="726638"/>
                </a:xfrm>
              </xdr:grpSpPr>
              <xdr:sp macro="" textlink="">
                <xdr:nvSpPr>
                  <xdr:cNvPr id="193" name="Cheurón 192">
                    <a:extLst>
                      <a:ext uri="{FF2B5EF4-FFF2-40B4-BE49-F238E27FC236}">
                        <a16:creationId xmlns:a16="http://schemas.microsoft.com/office/drawing/2014/main" id="{00000000-0008-0000-0A00-0000C1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194" name="CuadroTexto 193">
                    <a:extLst>
                      <a:ext uri="{FF2B5EF4-FFF2-40B4-BE49-F238E27FC236}">
                        <a16:creationId xmlns:a16="http://schemas.microsoft.com/office/drawing/2014/main" id="{00000000-0008-0000-0A00-0000C2000000}"/>
                      </a:ext>
                    </a:extLst>
                  </xdr:cNvPr>
                  <xdr:cNvSpPr txBox="1"/>
                </xdr:nvSpPr>
                <xdr:spPr>
                  <a:xfrm>
                    <a:off x="28393960"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X$27">
                <xdr:nvSpPr>
                  <xdr:cNvPr id="195" name="Rectángulo redondeado 194">
                    <a:extLst>
                      <a:ext uri="{FF2B5EF4-FFF2-40B4-BE49-F238E27FC236}">
                        <a16:creationId xmlns:a16="http://schemas.microsoft.com/office/drawing/2014/main" id="{00000000-0008-0000-0A00-0000C3000000}"/>
                      </a:ext>
                    </a:extLst>
                  </xdr:cNvPr>
                  <xdr:cNvSpPr/>
                </xdr:nvSpPr>
                <xdr:spPr>
                  <a:xfrm>
                    <a:off x="29557264"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0EFBB3-161E-405B-AF5B-445BC19AB5FD}" type="TxLink">
                      <a:rPr lang="en-US" sz="1600" b="1" i="0" u="none" strike="noStrike">
                        <a:solidFill>
                          <a:srgbClr val="FFFF00"/>
                        </a:solidFill>
                        <a:latin typeface="Century Gothic"/>
                      </a:rPr>
                      <a:pPr algn="ctr"/>
                      <a:t>-</a:t>
                    </a:fld>
                    <a:endParaRPr lang="es-CO" sz="5400">
                      <a:solidFill>
                        <a:srgbClr val="FFFF00"/>
                      </a:solidFill>
                    </a:endParaRPr>
                  </a:p>
                </xdr:txBody>
              </xdr:sp>
            </xdr:grpSp>
            <xdr:grpSp>
              <xdr:nvGrpSpPr>
                <xdr:cNvPr id="642" name="Grupo 641">
                  <a:extLst>
                    <a:ext uri="{FF2B5EF4-FFF2-40B4-BE49-F238E27FC236}">
                      <a16:creationId xmlns:a16="http://schemas.microsoft.com/office/drawing/2014/main" id="{00000000-0008-0000-0A00-000082020000}"/>
                    </a:ext>
                  </a:extLst>
                </xdr:cNvPr>
                <xdr:cNvGrpSpPr/>
              </xdr:nvGrpSpPr>
              <xdr:grpSpPr>
                <a:xfrm>
                  <a:off x="19931955" y="15376835"/>
                  <a:ext cx="826488" cy="283551"/>
                  <a:chOff x="19914637" y="16582951"/>
                  <a:chExt cx="825525" cy="275854"/>
                </a:xfrm>
              </xdr:grpSpPr>
              <xdr:sp macro="" textlink="">
                <xdr:nvSpPr>
                  <xdr:cNvPr id="626" name="CuadroTexto 625">
                    <a:extLst>
                      <a:ext uri="{FF2B5EF4-FFF2-40B4-BE49-F238E27FC236}">
                        <a16:creationId xmlns:a16="http://schemas.microsoft.com/office/drawing/2014/main" id="{00000000-0008-0000-0A00-000072020000}"/>
                      </a:ext>
                    </a:extLst>
                  </xdr:cNvPr>
                  <xdr:cNvSpPr txBox="1"/>
                </xdr:nvSpPr>
                <xdr:spPr>
                  <a:xfrm>
                    <a:off x="19914637" y="1658488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7">
                <xdr:nvSpPr>
                  <xdr:cNvPr id="627" name="Rectángulo 626">
                    <a:extLst>
                      <a:ext uri="{FF2B5EF4-FFF2-40B4-BE49-F238E27FC236}">
                        <a16:creationId xmlns:a16="http://schemas.microsoft.com/office/drawing/2014/main" id="{00000000-0008-0000-0A00-000073020000}"/>
                      </a:ext>
                    </a:extLst>
                  </xdr:cNvPr>
                  <xdr:cNvSpPr/>
                </xdr:nvSpPr>
                <xdr:spPr>
                  <a:xfrm>
                    <a:off x="19967342" y="1658295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250CA86-4A51-454F-BAEE-0667B8EE53F7}"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K$27">
                <xdr:nvSpPr>
                  <xdr:cNvPr id="628" name="Rectángulo 627">
                    <a:extLst>
                      <a:ext uri="{FF2B5EF4-FFF2-40B4-BE49-F238E27FC236}">
                        <a16:creationId xmlns:a16="http://schemas.microsoft.com/office/drawing/2014/main" id="{00000000-0008-0000-0A00-000074020000}"/>
                      </a:ext>
                    </a:extLst>
                  </xdr:cNvPr>
                  <xdr:cNvSpPr/>
                </xdr:nvSpPr>
                <xdr:spPr>
                  <a:xfrm>
                    <a:off x="20253338" y="1658295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ED2B9AB0-6F39-417E-812F-50EA29C95D35}" type="TxLink">
                      <a:rPr lang="en-US" sz="1100" b="1" i="0" u="none" strike="noStrike">
                        <a:solidFill>
                          <a:srgbClr val="FFFF00"/>
                        </a:solidFill>
                        <a:latin typeface="Century Gothic"/>
                      </a:rPr>
                      <a:pPr algn="ctr"/>
                      <a:t>-</a:t>
                    </a:fld>
                    <a:endParaRPr lang="es-CO" sz="1100" b="1">
                      <a:solidFill>
                        <a:srgbClr val="FFFF00"/>
                      </a:solidFill>
                    </a:endParaRPr>
                  </a:p>
                </xdr:txBody>
              </xdr:sp>
            </xdr:grpSp>
          </xdr:grpSp>
          <xdr:grpSp>
            <xdr:nvGrpSpPr>
              <xdr:cNvPr id="897" name="Grupo 896">
                <a:extLst>
                  <a:ext uri="{FF2B5EF4-FFF2-40B4-BE49-F238E27FC236}">
                    <a16:creationId xmlns:a16="http://schemas.microsoft.com/office/drawing/2014/main" id="{00000000-0008-0000-0A00-000081030000}"/>
                  </a:ext>
                </a:extLst>
              </xdr:cNvPr>
              <xdr:cNvGrpSpPr/>
            </xdr:nvGrpSpPr>
            <xdr:grpSpPr>
              <a:xfrm>
                <a:off x="14836099" y="14892384"/>
                <a:ext cx="2163185" cy="768061"/>
                <a:chOff x="14808207" y="14884484"/>
                <a:chExt cx="2158192" cy="775902"/>
              </a:xfrm>
            </xdr:grpSpPr>
            <xdr:grpSp>
              <xdr:nvGrpSpPr>
                <xdr:cNvPr id="190" name="Grupo 189">
                  <a:extLst>
                    <a:ext uri="{FF2B5EF4-FFF2-40B4-BE49-F238E27FC236}">
                      <a16:creationId xmlns:a16="http://schemas.microsoft.com/office/drawing/2014/main" id="{00000000-0008-0000-0A00-0000BE000000}"/>
                    </a:ext>
                  </a:extLst>
                </xdr:cNvPr>
                <xdr:cNvGrpSpPr/>
              </xdr:nvGrpSpPr>
              <xdr:grpSpPr>
                <a:xfrm>
                  <a:off x="14808207" y="14884484"/>
                  <a:ext cx="2158192" cy="753182"/>
                  <a:chOff x="28351843" y="12458683"/>
                  <a:chExt cx="2160000" cy="726638"/>
                </a:xfrm>
              </xdr:grpSpPr>
              <xdr:sp macro="" textlink="">
                <xdr:nvSpPr>
                  <xdr:cNvPr id="202" name="Cheurón 201">
                    <a:extLst>
                      <a:ext uri="{FF2B5EF4-FFF2-40B4-BE49-F238E27FC236}">
                        <a16:creationId xmlns:a16="http://schemas.microsoft.com/office/drawing/2014/main" id="{00000000-0008-0000-0A00-0000CA00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203" name="CuadroTexto 202">
                    <a:extLst>
                      <a:ext uri="{FF2B5EF4-FFF2-40B4-BE49-F238E27FC236}">
                        <a16:creationId xmlns:a16="http://schemas.microsoft.com/office/drawing/2014/main" id="{00000000-0008-0000-0A00-0000CB000000}"/>
                      </a:ext>
                    </a:extLst>
                  </xdr:cNvPr>
                  <xdr:cNvSpPr txBox="1"/>
                </xdr:nvSpPr>
                <xdr:spPr>
                  <a:xfrm>
                    <a:off x="2840009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X$25">
                <xdr:nvSpPr>
                  <xdr:cNvPr id="204" name="Rectángulo redondeado 203">
                    <a:extLst>
                      <a:ext uri="{FF2B5EF4-FFF2-40B4-BE49-F238E27FC236}">
                        <a16:creationId xmlns:a16="http://schemas.microsoft.com/office/drawing/2014/main" id="{00000000-0008-0000-0A00-0000CC000000}"/>
                      </a:ext>
                    </a:extLst>
                  </xdr:cNvPr>
                  <xdr:cNvSpPr/>
                </xdr:nvSpPr>
                <xdr:spPr>
                  <a:xfrm>
                    <a:off x="29553530"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96B9E0-9A5A-4AF3-B35F-78EFD2B66E59}"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640" name="Grupo 639">
                  <a:extLst>
                    <a:ext uri="{FF2B5EF4-FFF2-40B4-BE49-F238E27FC236}">
                      <a16:creationId xmlns:a16="http://schemas.microsoft.com/office/drawing/2014/main" id="{00000000-0008-0000-0A00-000080020000}"/>
                    </a:ext>
                  </a:extLst>
                </xdr:cNvPr>
                <xdr:cNvGrpSpPr/>
              </xdr:nvGrpSpPr>
              <xdr:grpSpPr>
                <a:xfrm>
                  <a:off x="16014393" y="15376835"/>
                  <a:ext cx="825525" cy="283551"/>
                  <a:chOff x="16042294" y="16581216"/>
                  <a:chExt cx="825525" cy="275854"/>
                </a:xfrm>
              </xdr:grpSpPr>
              <xdr:sp macro="" textlink="">
                <xdr:nvSpPr>
                  <xdr:cNvPr id="620" name="CuadroTexto 619">
                    <a:extLst>
                      <a:ext uri="{FF2B5EF4-FFF2-40B4-BE49-F238E27FC236}">
                        <a16:creationId xmlns:a16="http://schemas.microsoft.com/office/drawing/2014/main" id="{00000000-0008-0000-0A00-00006C020000}"/>
                      </a:ext>
                    </a:extLst>
                  </xdr:cNvPr>
                  <xdr:cNvSpPr txBox="1"/>
                </xdr:nvSpPr>
                <xdr:spPr>
                  <a:xfrm>
                    <a:off x="16042294" y="1658315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W$25">
                <xdr:nvSpPr>
                  <xdr:cNvPr id="621" name="Rectángulo 620">
                    <a:extLst>
                      <a:ext uri="{FF2B5EF4-FFF2-40B4-BE49-F238E27FC236}">
                        <a16:creationId xmlns:a16="http://schemas.microsoft.com/office/drawing/2014/main" id="{00000000-0008-0000-0A00-00006D020000}"/>
                      </a:ext>
                    </a:extLst>
                  </xdr:cNvPr>
                  <xdr:cNvSpPr/>
                </xdr:nvSpPr>
                <xdr:spPr>
                  <a:xfrm>
                    <a:off x="16094999" y="1658121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7DE3F5E-64EF-4B3D-BEA1-B3D5DD9F9EFB}"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K$25">
                <xdr:nvSpPr>
                  <xdr:cNvPr id="622" name="Rectángulo 621">
                    <a:extLst>
                      <a:ext uri="{FF2B5EF4-FFF2-40B4-BE49-F238E27FC236}">
                        <a16:creationId xmlns:a16="http://schemas.microsoft.com/office/drawing/2014/main" id="{00000000-0008-0000-0A00-00006E020000}"/>
                      </a:ext>
                    </a:extLst>
                  </xdr:cNvPr>
                  <xdr:cNvSpPr/>
                </xdr:nvSpPr>
                <xdr:spPr>
                  <a:xfrm>
                    <a:off x="16380995" y="1658121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C7D9F87-8CCD-4AB5-87D1-04131D2737F5}" type="TxLink">
                      <a:rPr lang="en-US" sz="1100" b="1" i="0" u="none" strike="noStrike">
                        <a:solidFill>
                          <a:srgbClr val="FFFF00"/>
                        </a:solidFill>
                        <a:latin typeface="Century Gothic"/>
                      </a:rPr>
                      <a:pPr algn="ctr"/>
                      <a:t>9</a:t>
                    </a:fld>
                    <a:endParaRPr lang="es-CO" sz="1100" b="1">
                      <a:solidFill>
                        <a:srgbClr val="FFFF00"/>
                      </a:solidFill>
                    </a:endParaRPr>
                  </a:p>
                </xdr:txBody>
              </xdr:sp>
            </xdr:grpSp>
          </xdr:grpSp>
        </xdr:grpSp>
      </xdr:grpSp>
    </xdr:grpSp>
    <xdr:clientData/>
  </xdr:twoCellAnchor>
  <xdr:twoCellAnchor editAs="absolute">
    <xdr:from>
      <xdr:col>12</xdr:col>
      <xdr:colOff>546111</xdr:colOff>
      <xdr:row>35</xdr:row>
      <xdr:rowOff>110074</xdr:rowOff>
    </xdr:from>
    <xdr:to>
      <xdr:col>22</xdr:col>
      <xdr:colOff>809125</xdr:colOff>
      <xdr:row>73</xdr:row>
      <xdr:rowOff>25984</xdr:rowOff>
    </xdr:to>
    <xdr:grpSp>
      <xdr:nvGrpSpPr>
        <xdr:cNvPr id="8" name="Grupo 7">
          <a:extLst>
            <a:ext uri="{FF2B5EF4-FFF2-40B4-BE49-F238E27FC236}">
              <a16:creationId xmlns:a16="http://schemas.microsoft.com/office/drawing/2014/main" id="{00000000-0008-0000-0A00-000008000000}"/>
            </a:ext>
          </a:extLst>
        </xdr:cNvPr>
        <xdr:cNvGrpSpPr/>
      </xdr:nvGrpSpPr>
      <xdr:grpSpPr>
        <a:xfrm>
          <a:off x="11823711" y="9460903"/>
          <a:ext cx="11290243" cy="6534424"/>
          <a:chOff x="11499861" y="9594252"/>
          <a:chExt cx="10985443" cy="7671982"/>
        </a:xfrm>
      </xdr:grpSpPr>
      <xdr:grpSp>
        <xdr:nvGrpSpPr>
          <xdr:cNvPr id="927" name="Grupo 926">
            <a:extLst>
              <a:ext uri="{FF2B5EF4-FFF2-40B4-BE49-F238E27FC236}">
                <a16:creationId xmlns:a16="http://schemas.microsoft.com/office/drawing/2014/main" id="{00000000-0008-0000-0A00-00009F030000}"/>
              </a:ext>
            </a:extLst>
          </xdr:cNvPr>
          <xdr:cNvGrpSpPr/>
        </xdr:nvGrpSpPr>
        <xdr:grpSpPr>
          <a:xfrm>
            <a:off x="11511521" y="9594252"/>
            <a:ext cx="10928941" cy="828087"/>
            <a:chOff x="23474890" y="9420678"/>
            <a:chExt cx="10923596" cy="858536"/>
          </a:xfrm>
        </xdr:grpSpPr>
        <xdr:sp macro="" textlink="">
          <xdr:nvSpPr>
            <xdr:cNvPr id="890" name="Rectángulo 889">
              <a:extLst>
                <a:ext uri="{FF2B5EF4-FFF2-40B4-BE49-F238E27FC236}">
                  <a16:creationId xmlns:a16="http://schemas.microsoft.com/office/drawing/2014/main" id="{00000000-0008-0000-0A00-00007A030000}"/>
                </a:ext>
              </a:extLst>
            </xdr:cNvPr>
            <xdr:cNvSpPr/>
          </xdr:nvSpPr>
          <xdr:spPr>
            <a:xfrm>
              <a:off x="23474890" y="9420678"/>
              <a:ext cx="9967123" cy="858507"/>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tx1"/>
                  </a:solidFill>
                  <a:latin typeface="Century Gothic" panose="020B0502020202020204" pitchFamily="34" charset="0"/>
                </a:rPr>
                <a:t>PROPORCIÓN DE ACCIONES DE MEJORA CUMPLIDAS DE LAS AUDITORÍAS CON ENFOQUE EN RIESGOS, ESE METROSALUD, 2019 - 2023</a:t>
              </a:r>
            </a:p>
          </xdr:txBody>
        </xdr:sp>
        <xdr:grpSp>
          <xdr:nvGrpSpPr>
            <xdr:cNvPr id="891" name="Grupo 890">
              <a:extLst>
                <a:ext uri="{FF2B5EF4-FFF2-40B4-BE49-F238E27FC236}">
                  <a16:creationId xmlns:a16="http://schemas.microsoft.com/office/drawing/2014/main" id="{00000000-0008-0000-0A00-00007B030000}"/>
                </a:ext>
              </a:extLst>
            </xdr:cNvPr>
            <xdr:cNvGrpSpPr/>
          </xdr:nvGrpSpPr>
          <xdr:grpSpPr>
            <a:xfrm>
              <a:off x="33471447" y="9420705"/>
              <a:ext cx="927039" cy="858509"/>
              <a:chOff x="21862921" y="10589079"/>
              <a:chExt cx="925795" cy="842845"/>
            </a:xfrm>
          </xdr:grpSpPr>
          <xdr:sp macro="" textlink="$P$32">
            <xdr:nvSpPr>
              <xdr:cNvPr id="892" name="Rectángulo 891">
                <a:extLst>
                  <a:ext uri="{FF2B5EF4-FFF2-40B4-BE49-F238E27FC236}">
                    <a16:creationId xmlns:a16="http://schemas.microsoft.com/office/drawing/2014/main" id="{00000000-0008-0000-0A00-00007C030000}"/>
                  </a:ext>
                </a:extLst>
              </xdr:cNvPr>
              <xdr:cNvSpPr/>
            </xdr:nvSpPr>
            <xdr:spPr>
              <a:xfrm>
                <a:off x="21875553"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85D49E2-9417-4908-B95E-0920E68470EF}" type="TxLink">
                  <a:rPr lang="en-US" sz="2000" b="1" i="0" u="none" strike="noStrike">
                    <a:solidFill>
                      <a:srgbClr val="FF0000"/>
                    </a:solidFill>
                    <a:latin typeface="Century Gothic"/>
                  </a:rPr>
                  <a:pPr algn="ctr"/>
                  <a:t>29,5%</a:t>
                </a:fld>
                <a:endParaRPr lang="es-CO" sz="13800">
                  <a:solidFill>
                    <a:srgbClr val="FF0000"/>
                  </a:solidFill>
                </a:endParaRPr>
              </a:p>
            </xdr:txBody>
          </xdr:sp>
          <xdr:grpSp>
            <xdr:nvGrpSpPr>
              <xdr:cNvPr id="893" name="Grupo 892">
                <a:extLst>
                  <a:ext uri="{FF2B5EF4-FFF2-40B4-BE49-F238E27FC236}">
                    <a16:creationId xmlns:a16="http://schemas.microsoft.com/office/drawing/2014/main" id="{00000000-0008-0000-0A00-00007D030000}"/>
                  </a:ext>
                </a:extLst>
              </xdr:cNvPr>
              <xdr:cNvGrpSpPr/>
            </xdr:nvGrpSpPr>
            <xdr:grpSpPr>
              <a:xfrm>
                <a:off x="21862921" y="11115373"/>
                <a:ext cx="898782" cy="299234"/>
                <a:chOff x="21862921" y="11115373"/>
                <a:chExt cx="898782" cy="299234"/>
              </a:xfrm>
            </xdr:grpSpPr>
            <xdr:sp macro="" textlink="$O$32">
              <xdr:nvSpPr>
                <xdr:cNvPr id="894" name="Rectángulo 893">
                  <a:extLst>
                    <a:ext uri="{FF2B5EF4-FFF2-40B4-BE49-F238E27FC236}">
                      <a16:creationId xmlns:a16="http://schemas.microsoft.com/office/drawing/2014/main" id="{00000000-0008-0000-0A00-00007E03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54568F-49CB-4CC2-84E5-D5DBEDF33A80}" type="TxLink">
                    <a:rPr lang="en-US" sz="1100" b="1" i="0" u="none" strike="noStrike">
                      <a:solidFill>
                        <a:srgbClr val="FF0000"/>
                      </a:solidFill>
                      <a:latin typeface="Century Gothic"/>
                    </a:rPr>
                    <a:pPr algn="ctr"/>
                    <a:t>72</a:t>
                  </a:fld>
                  <a:endParaRPr lang="es-CO" sz="1100">
                    <a:solidFill>
                      <a:srgbClr val="FF0000"/>
                    </a:solidFill>
                  </a:endParaRPr>
                </a:p>
              </xdr:txBody>
            </xdr:sp>
            <xdr:sp macro="" textlink="">
              <xdr:nvSpPr>
                <xdr:cNvPr id="895" name="CuadroTexto 894">
                  <a:extLst>
                    <a:ext uri="{FF2B5EF4-FFF2-40B4-BE49-F238E27FC236}">
                      <a16:creationId xmlns:a16="http://schemas.microsoft.com/office/drawing/2014/main" id="{00000000-0008-0000-0A00-00007F030000}"/>
                    </a:ext>
                  </a:extLst>
                </xdr:cNvPr>
                <xdr:cNvSpPr txBox="1"/>
              </xdr:nvSpPr>
              <xdr:spPr>
                <a:xfrm>
                  <a:off x="21862921" y="11115373"/>
                  <a:ext cx="898782" cy="2693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0000"/>
                      </a:solidFill>
                      <a:latin typeface="Century Gothic" panose="020B0502020202020204" pitchFamily="34" charset="0"/>
                    </a:rPr>
                    <a:t>(       /  </a:t>
                  </a:r>
                  <a:r>
                    <a:rPr lang="es-CO" sz="1100" i="0" baseline="0">
                      <a:solidFill>
                        <a:srgbClr val="FF0000"/>
                      </a:solidFill>
                      <a:latin typeface="Century Gothic" panose="020B0502020202020204" pitchFamily="34" charset="0"/>
                    </a:rPr>
                    <a:t>      </a:t>
                  </a:r>
                  <a:r>
                    <a:rPr lang="es-CO" sz="1100" i="0">
                      <a:solidFill>
                        <a:srgbClr val="FF0000"/>
                      </a:solidFill>
                      <a:latin typeface="Century Gothic" panose="020B0502020202020204" pitchFamily="34" charset="0"/>
                    </a:rPr>
                    <a:t>)</a:t>
                  </a:r>
                </a:p>
              </xdr:txBody>
            </xdr:sp>
            <xdr:sp macro="" textlink="$V$32">
              <xdr:nvSpPr>
                <xdr:cNvPr id="896" name="Rectángulo 895">
                  <a:extLst>
                    <a:ext uri="{FF2B5EF4-FFF2-40B4-BE49-F238E27FC236}">
                      <a16:creationId xmlns:a16="http://schemas.microsoft.com/office/drawing/2014/main" id="{00000000-0008-0000-0A00-00008003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4573DAD-11B7-43CA-9A68-7B4FA7F83F37}" type="TxLink">
                    <a:rPr lang="en-US" sz="1100" b="1" i="0" u="none" strike="noStrike">
                      <a:solidFill>
                        <a:srgbClr val="FF0000"/>
                      </a:solidFill>
                      <a:latin typeface="Century Gothic"/>
                    </a:rPr>
                    <a:pPr algn="ctr"/>
                    <a:t>244</a:t>
                  </a:fld>
                  <a:endParaRPr lang="es-CO" sz="1100">
                    <a:solidFill>
                      <a:srgbClr val="FF0000"/>
                    </a:solidFill>
                  </a:endParaRPr>
                </a:p>
              </xdr:txBody>
            </xdr:sp>
          </xdr:grpSp>
        </xdr:grpSp>
      </xdr:grpSp>
      <xdr:sp macro="" textlink="">
        <xdr:nvSpPr>
          <xdr:cNvPr id="676" name="Rectángulo redondeado 675">
            <a:extLst>
              <a:ext uri="{FF2B5EF4-FFF2-40B4-BE49-F238E27FC236}">
                <a16:creationId xmlns:a16="http://schemas.microsoft.com/office/drawing/2014/main" id="{00000000-0008-0000-0A00-0000A4020000}"/>
              </a:ext>
            </a:extLst>
          </xdr:cNvPr>
          <xdr:cNvSpPr/>
        </xdr:nvSpPr>
        <xdr:spPr>
          <a:xfrm>
            <a:off x="11499861" y="10532426"/>
            <a:ext cx="10985443" cy="6733808"/>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7" name="Grupo 6">
            <a:extLst>
              <a:ext uri="{FF2B5EF4-FFF2-40B4-BE49-F238E27FC236}">
                <a16:creationId xmlns:a16="http://schemas.microsoft.com/office/drawing/2014/main" id="{00000000-0008-0000-0A00-000007000000}"/>
              </a:ext>
            </a:extLst>
          </xdr:cNvPr>
          <xdr:cNvGrpSpPr/>
        </xdr:nvGrpSpPr>
        <xdr:grpSpPr>
          <a:xfrm>
            <a:off x="11628297" y="10545796"/>
            <a:ext cx="10702250" cy="1610668"/>
            <a:chOff x="11628297" y="10545796"/>
            <a:chExt cx="10702250" cy="1610668"/>
          </a:xfrm>
        </xdr:grpSpPr>
        <xdr:sp macro="" textlink="">
          <xdr:nvSpPr>
            <xdr:cNvPr id="850" name="Flecha abajo 849">
              <a:extLst>
                <a:ext uri="{FF2B5EF4-FFF2-40B4-BE49-F238E27FC236}">
                  <a16:creationId xmlns:a16="http://schemas.microsoft.com/office/drawing/2014/main" id="{00000000-0008-0000-0A00-000052030000}"/>
                </a:ext>
              </a:extLst>
            </xdr:cNvPr>
            <xdr:cNvSpPr/>
          </xdr:nvSpPr>
          <xdr:spPr>
            <a:xfrm>
              <a:off x="17013962" y="11837194"/>
              <a:ext cx="468861" cy="286487"/>
            </a:xfrm>
            <a:prstGeom prst="downArrow">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 name="Grupo 5">
              <a:extLst>
                <a:ext uri="{FF2B5EF4-FFF2-40B4-BE49-F238E27FC236}">
                  <a16:creationId xmlns:a16="http://schemas.microsoft.com/office/drawing/2014/main" id="{00000000-0008-0000-0A00-000006000000}"/>
                </a:ext>
              </a:extLst>
            </xdr:cNvPr>
            <xdr:cNvGrpSpPr/>
          </xdr:nvGrpSpPr>
          <xdr:grpSpPr>
            <a:xfrm>
              <a:off x="11628297" y="10545796"/>
              <a:ext cx="10702250" cy="1610668"/>
              <a:chOff x="11628297" y="10545796"/>
              <a:chExt cx="10702250" cy="1610668"/>
            </a:xfrm>
          </xdr:grpSpPr>
          <xdr:grpSp>
            <xdr:nvGrpSpPr>
              <xdr:cNvPr id="849" name="Grupo 848">
                <a:extLst>
                  <a:ext uri="{FF2B5EF4-FFF2-40B4-BE49-F238E27FC236}">
                    <a16:creationId xmlns:a16="http://schemas.microsoft.com/office/drawing/2014/main" id="{00000000-0008-0000-0A00-000051030000}"/>
                  </a:ext>
                </a:extLst>
              </xdr:cNvPr>
              <xdr:cNvGrpSpPr/>
            </xdr:nvGrpSpPr>
            <xdr:grpSpPr>
              <a:xfrm>
                <a:off x="11628297" y="10545796"/>
                <a:ext cx="720357" cy="1610668"/>
                <a:chOff x="27309535" y="8324853"/>
                <a:chExt cx="719033" cy="1610348"/>
              </a:xfrm>
            </xdr:grpSpPr>
            <xdr:sp macro="" textlink="">
              <xdr:nvSpPr>
                <xdr:cNvPr id="888" name="Rectángulo 887">
                  <a:extLst>
                    <a:ext uri="{FF2B5EF4-FFF2-40B4-BE49-F238E27FC236}">
                      <a16:creationId xmlns:a16="http://schemas.microsoft.com/office/drawing/2014/main" id="{00000000-0008-0000-0A00-000078030000}"/>
                    </a:ext>
                  </a:extLst>
                </xdr:cNvPr>
                <xdr:cNvSpPr/>
              </xdr:nvSpPr>
              <xdr:spPr>
                <a:xfrm>
                  <a:off x="27309535" y="8450034"/>
                  <a:ext cx="719033" cy="136800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889" name="CuadroTexto 888">
                  <a:extLst>
                    <a:ext uri="{FF2B5EF4-FFF2-40B4-BE49-F238E27FC236}">
                      <a16:creationId xmlns:a16="http://schemas.microsoft.com/office/drawing/2014/main" id="{00000000-0008-0000-0A00-000079030000}"/>
                    </a:ext>
                  </a:extLst>
                </xdr:cNvPr>
                <xdr:cNvSpPr txBox="1"/>
              </xdr:nvSpPr>
              <xdr:spPr>
                <a:xfrm rot="16200000">
                  <a:off x="26864250" y="8860416"/>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ESTRATEGICOS</a:t>
                  </a:r>
                </a:p>
              </xdr:txBody>
            </xdr:sp>
          </xdr:grpSp>
          <xdr:grpSp>
            <xdr:nvGrpSpPr>
              <xdr:cNvPr id="3" name="Grupo 2">
                <a:extLst>
                  <a:ext uri="{FF2B5EF4-FFF2-40B4-BE49-F238E27FC236}">
                    <a16:creationId xmlns:a16="http://schemas.microsoft.com/office/drawing/2014/main" id="{00000000-0008-0000-0A00-000003000000}"/>
                  </a:ext>
                </a:extLst>
              </xdr:cNvPr>
              <xdr:cNvGrpSpPr/>
            </xdr:nvGrpSpPr>
            <xdr:grpSpPr>
              <a:xfrm>
                <a:off x="12424862" y="11020792"/>
                <a:ext cx="2627912" cy="737197"/>
                <a:chOff x="12424862" y="11020792"/>
                <a:chExt cx="2627912" cy="737197"/>
              </a:xfrm>
            </xdr:grpSpPr>
            <xdr:grpSp>
              <xdr:nvGrpSpPr>
                <xdr:cNvPr id="879" name="Grupo 878">
                  <a:extLst>
                    <a:ext uri="{FF2B5EF4-FFF2-40B4-BE49-F238E27FC236}">
                      <a16:creationId xmlns:a16="http://schemas.microsoft.com/office/drawing/2014/main" id="{00000000-0008-0000-0A00-00006F030000}"/>
                    </a:ext>
                  </a:extLst>
                </xdr:cNvPr>
                <xdr:cNvGrpSpPr/>
              </xdr:nvGrpSpPr>
              <xdr:grpSpPr>
                <a:xfrm>
                  <a:off x="12424862" y="11020792"/>
                  <a:ext cx="2627912" cy="721687"/>
                  <a:chOff x="12791456" y="12043791"/>
                  <a:chExt cx="2623086" cy="734845"/>
                </a:xfrm>
              </xdr:grpSpPr>
              <xdr:grpSp>
                <xdr:nvGrpSpPr>
                  <xdr:cNvPr id="884" name="Grupo 883">
                    <a:extLst>
                      <a:ext uri="{FF2B5EF4-FFF2-40B4-BE49-F238E27FC236}">
                        <a16:creationId xmlns:a16="http://schemas.microsoft.com/office/drawing/2014/main" id="{00000000-0008-0000-0A00-000074030000}"/>
                      </a:ext>
                    </a:extLst>
                  </xdr:cNvPr>
                  <xdr:cNvGrpSpPr/>
                </xdr:nvGrpSpPr>
                <xdr:grpSpPr>
                  <a:xfrm>
                    <a:off x="12791456" y="12043791"/>
                    <a:ext cx="2623086" cy="734845"/>
                    <a:chOff x="12791456" y="12043791"/>
                    <a:chExt cx="2623086" cy="734845"/>
                  </a:xfrm>
                </xdr:grpSpPr>
                <xdr:sp macro="" textlink="">
                  <xdr:nvSpPr>
                    <xdr:cNvPr id="886" name="Cheurón 885">
                      <a:extLst>
                        <a:ext uri="{FF2B5EF4-FFF2-40B4-BE49-F238E27FC236}">
                          <a16:creationId xmlns:a16="http://schemas.microsoft.com/office/drawing/2014/main" id="{00000000-0008-0000-0A00-000076030000}"/>
                        </a:ext>
                      </a:extLst>
                    </xdr:cNvPr>
                    <xdr:cNvSpPr/>
                  </xdr:nvSpPr>
                  <xdr:spPr>
                    <a:xfrm>
                      <a:off x="12791456" y="12043791"/>
                      <a:ext cx="2623086" cy="734845"/>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87" name="CuadroTexto 886">
                      <a:extLst>
                        <a:ext uri="{FF2B5EF4-FFF2-40B4-BE49-F238E27FC236}">
                          <a16:creationId xmlns:a16="http://schemas.microsoft.com/office/drawing/2014/main" id="{00000000-0008-0000-0A00-000077030000}"/>
                        </a:ext>
                      </a:extLst>
                    </xdr:cNvPr>
                    <xdr:cNvSpPr txBox="1"/>
                  </xdr:nvSpPr>
                  <xdr:spPr>
                    <a:xfrm>
                      <a:off x="12949601" y="12201748"/>
                      <a:ext cx="1710407" cy="4472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DIRECCIONAMIENTO</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Y</a:t>
                      </a:r>
                    </a:p>
                    <a:p>
                      <a:pPr algn="ctr"/>
                      <a:r>
                        <a:rPr lang="es-CO" sz="1100" b="1">
                          <a:solidFill>
                            <a:schemeClr val="bg1"/>
                          </a:solidFill>
                          <a:latin typeface="Century Gothic" panose="020B0502020202020204" pitchFamily="34" charset="0"/>
                        </a:rPr>
                        <a:t>PLANEACION</a:t>
                      </a:r>
                    </a:p>
                  </xdr:txBody>
                </xdr:sp>
              </xdr:grpSp>
              <xdr:sp macro="" textlink="$P$6">
                <xdr:nvSpPr>
                  <xdr:cNvPr id="885" name="Rectángulo redondeado 884">
                    <a:extLst>
                      <a:ext uri="{FF2B5EF4-FFF2-40B4-BE49-F238E27FC236}">
                        <a16:creationId xmlns:a16="http://schemas.microsoft.com/office/drawing/2014/main" id="{00000000-0008-0000-0A00-000075030000}"/>
                      </a:ext>
                    </a:extLst>
                  </xdr:cNvPr>
                  <xdr:cNvSpPr/>
                </xdr:nvSpPr>
                <xdr:spPr>
                  <a:xfrm>
                    <a:off x="14441374" y="12157963"/>
                    <a:ext cx="934250" cy="51268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0B9951-99AD-4B57-9599-F5F4DFD51AE4}" type="TxLink">
                      <a:rPr lang="en-US" sz="1600" b="1" i="0" u="none" strike="noStrike">
                        <a:solidFill>
                          <a:srgbClr val="FFFF00"/>
                        </a:solidFill>
                        <a:latin typeface="Century Gothic"/>
                      </a:rPr>
                      <a:pPr algn="ctr"/>
                      <a:t>-</a:t>
                    </a:fld>
                    <a:endParaRPr lang="es-CO" sz="3200">
                      <a:solidFill>
                        <a:srgbClr val="FFFF00"/>
                      </a:solidFill>
                    </a:endParaRPr>
                  </a:p>
                </xdr:txBody>
              </xdr:sp>
            </xdr:grpSp>
            <xdr:grpSp>
              <xdr:nvGrpSpPr>
                <xdr:cNvPr id="2" name="Grupo 1">
                  <a:extLst>
                    <a:ext uri="{FF2B5EF4-FFF2-40B4-BE49-F238E27FC236}">
                      <a16:creationId xmlns:a16="http://schemas.microsoft.com/office/drawing/2014/main" id="{00000000-0008-0000-0A00-000002000000}"/>
                    </a:ext>
                  </a:extLst>
                </xdr:cNvPr>
                <xdr:cNvGrpSpPr/>
              </xdr:nvGrpSpPr>
              <xdr:grpSpPr>
                <a:xfrm>
                  <a:off x="14080094" y="11468564"/>
                  <a:ext cx="829523" cy="289425"/>
                  <a:chOff x="14080094" y="11468564"/>
                  <a:chExt cx="829523" cy="289425"/>
                </a:xfrm>
              </xdr:grpSpPr>
              <xdr:sp macro="" textlink="$O$6">
                <xdr:nvSpPr>
                  <xdr:cNvPr id="881" name="Rectángulo 880">
                    <a:extLst>
                      <a:ext uri="{FF2B5EF4-FFF2-40B4-BE49-F238E27FC236}">
                        <a16:creationId xmlns:a16="http://schemas.microsoft.com/office/drawing/2014/main" id="{00000000-0008-0000-0A00-000071030000}"/>
                      </a:ext>
                    </a:extLst>
                  </xdr:cNvPr>
                  <xdr:cNvSpPr/>
                </xdr:nvSpPr>
                <xdr:spPr>
                  <a:xfrm>
                    <a:off x="14121333" y="11483430"/>
                    <a:ext cx="432795" cy="2745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8309385-39F2-4D7C-8A93-448A93CE4AC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6">
                <xdr:nvSpPr>
                  <xdr:cNvPr id="882" name="Rectángulo 881">
                    <a:extLst>
                      <a:ext uri="{FF2B5EF4-FFF2-40B4-BE49-F238E27FC236}">
                        <a16:creationId xmlns:a16="http://schemas.microsoft.com/office/drawing/2014/main" id="{00000000-0008-0000-0A00-000072030000}"/>
                      </a:ext>
                    </a:extLst>
                  </xdr:cNvPr>
                  <xdr:cNvSpPr/>
                </xdr:nvSpPr>
                <xdr:spPr>
                  <a:xfrm>
                    <a:off x="14416535" y="11483430"/>
                    <a:ext cx="432795" cy="2745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EAE5A3-7CFE-426C-BD5F-113C89FC0C3C}"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
                <xdr:nvSpPr>
                  <xdr:cNvPr id="883" name="CuadroTexto 882">
                    <a:extLst>
                      <a:ext uri="{FF2B5EF4-FFF2-40B4-BE49-F238E27FC236}">
                        <a16:creationId xmlns:a16="http://schemas.microsoft.com/office/drawing/2014/main" id="{00000000-0008-0000-0A00-000073030000}"/>
                      </a:ext>
                    </a:extLst>
                  </xdr:cNvPr>
                  <xdr:cNvSpPr txBox="1"/>
                </xdr:nvSpPr>
                <xdr:spPr>
                  <a:xfrm>
                    <a:off x="14080094" y="11468564"/>
                    <a:ext cx="829523" cy="263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4" name="Grupo 3">
                <a:extLst>
                  <a:ext uri="{FF2B5EF4-FFF2-40B4-BE49-F238E27FC236}">
                    <a16:creationId xmlns:a16="http://schemas.microsoft.com/office/drawing/2014/main" id="{00000000-0008-0000-0A00-000004000000}"/>
                  </a:ext>
                </a:extLst>
              </xdr:cNvPr>
              <xdr:cNvGrpSpPr/>
            </xdr:nvGrpSpPr>
            <xdr:grpSpPr>
              <a:xfrm>
                <a:off x="14849150" y="11020792"/>
                <a:ext cx="2632838" cy="737200"/>
                <a:chOff x="14849150" y="11020792"/>
                <a:chExt cx="2632838" cy="737200"/>
              </a:xfrm>
            </xdr:grpSpPr>
            <xdr:grpSp>
              <xdr:nvGrpSpPr>
                <xdr:cNvPr id="871" name="Grupo 870">
                  <a:extLst>
                    <a:ext uri="{FF2B5EF4-FFF2-40B4-BE49-F238E27FC236}">
                      <a16:creationId xmlns:a16="http://schemas.microsoft.com/office/drawing/2014/main" id="{00000000-0008-0000-0A00-000067030000}"/>
                    </a:ext>
                  </a:extLst>
                </xdr:cNvPr>
                <xdr:cNvGrpSpPr/>
              </xdr:nvGrpSpPr>
              <xdr:grpSpPr>
                <a:xfrm>
                  <a:off x="14849150" y="11020792"/>
                  <a:ext cx="2632838" cy="721687"/>
                  <a:chOff x="28594637" y="2081892"/>
                  <a:chExt cx="2433637" cy="585107"/>
                </a:xfrm>
              </xdr:grpSpPr>
              <xdr:sp macro="" textlink="">
                <xdr:nvSpPr>
                  <xdr:cNvPr id="876" name="Cheurón 875">
                    <a:extLst>
                      <a:ext uri="{FF2B5EF4-FFF2-40B4-BE49-F238E27FC236}">
                        <a16:creationId xmlns:a16="http://schemas.microsoft.com/office/drawing/2014/main" id="{00000000-0008-0000-0A00-00006C030000}"/>
                      </a:ext>
                    </a:extLst>
                  </xdr:cNvPr>
                  <xdr:cNvSpPr/>
                </xdr:nvSpPr>
                <xdr:spPr>
                  <a:xfrm>
                    <a:off x="28594637" y="2081892"/>
                    <a:ext cx="2433637"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77" name="CuadroTexto 876">
                    <a:extLst>
                      <a:ext uri="{FF2B5EF4-FFF2-40B4-BE49-F238E27FC236}">
                        <a16:creationId xmlns:a16="http://schemas.microsoft.com/office/drawing/2014/main" id="{00000000-0008-0000-0A00-00006D030000}"/>
                      </a:ext>
                    </a:extLst>
                  </xdr:cNvPr>
                  <xdr:cNvSpPr txBox="1"/>
                </xdr:nvSpPr>
                <xdr:spPr>
                  <a:xfrm>
                    <a:off x="28819250" y="2196605"/>
                    <a:ext cx="14563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DESARROLLO DEL</a:t>
                    </a:r>
                  </a:p>
                  <a:p>
                    <a:pPr algn="ctr"/>
                    <a:r>
                      <a:rPr lang="es-CO" sz="1100" b="1">
                        <a:solidFill>
                          <a:schemeClr val="bg1"/>
                        </a:solidFill>
                        <a:latin typeface="Century Gothic" panose="020B0502020202020204" pitchFamily="34" charset="0"/>
                      </a:rPr>
                      <a:t>SISTEMA DE GESTION</a:t>
                    </a:r>
                  </a:p>
                </xdr:txBody>
              </xdr:sp>
              <xdr:sp macro="" textlink="$P$7">
                <xdr:nvSpPr>
                  <xdr:cNvPr id="878" name="Rectángulo redondeado 877">
                    <a:extLst>
                      <a:ext uri="{FF2B5EF4-FFF2-40B4-BE49-F238E27FC236}">
                        <a16:creationId xmlns:a16="http://schemas.microsoft.com/office/drawing/2014/main" id="{00000000-0008-0000-0A00-00006E030000}"/>
                      </a:ext>
                    </a:extLst>
                  </xdr:cNvPr>
                  <xdr:cNvSpPr/>
                </xdr:nvSpPr>
                <xdr:spPr>
                  <a:xfrm>
                    <a:off x="30140480" y="2172799"/>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786A84D-ABA5-4E7C-9FA0-E1A17B8F17E5}" type="TxLink">
                      <a:rPr lang="en-US" sz="1600" b="1" i="0" u="none" strike="noStrike">
                        <a:solidFill>
                          <a:srgbClr val="FFFF00"/>
                        </a:solidFill>
                        <a:latin typeface="Century Gothic"/>
                      </a:rPr>
                      <a:pPr algn="ctr"/>
                      <a:t>85,7%</a:t>
                    </a:fld>
                    <a:endParaRPr lang="es-CO" sz="3200">
                      <a:solidFill>
                        <a:srgbClr val="FFFF00"/>
                      </a:solidFill>
                    </a:endParaRPr>
                  </a:p>
                </xdr:txBody>
              </xdr:sp>
            </xdr:grpSp>
            <xdr:grpSp>
              <xdr:nvGrpSpPr>
                <xdr:cNvPr id="872" name="Grupo 871">
                  <a:extLst>
                    <a:ext uri="{FF2B5EF4-FFF2-40B4-BE49-F238E27FC236}">
                      <a16:creationId xmlns:a16="http://schemas.microsoft.com/office/drawing/2014/main" id="{00000000-0008-0000-0A00-000068030000}"/>
                    </a:ext>
                  </a:extLst>
                </xdr:cNvPr>
                <xdr:cNvGrpSpPr/>
              </xdr:nvGrpSpPr>
              <xdr:grpSpPr>
                <a:xfrm>
                  <a:off x="16496521" y="11463463"/>
                  <a:ext cx="829524" cy="294529"/>
                  <a:chOff x="16855636" y="12601355"/>
                  <a:chExt cx="828000" cy="299899"/>
                </a:xfrm>
              </xdr:grpSpPr>
              <xdr:sp macro="" textlink="$O$7">
                <xdr:nvSpPr>
                  <xdr:cNvPr id="873" name="Rectángulo 872">
                    <a:extLst>
                      <a:ext uri="{FF2B5EF4-FFF2-40B4-BE49-F238E27FC236}">
                        <a16:creationId xmlns:a16="http://schemas.microsoft.com/office/drawing/2014/main" id="{00000000-0008-0000-0A00-000069030000}"/>
                      </a:ext>
                    </a:extLst>
                  </xdr:cNvPr>
                  <xdr:cNvSpPr/>
                </xdr:nvSpPr>
                <xdr:spPr>
                  <a:xfrm>
                    <a:off x="16903633"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92D54A-8F7C-408D-B315-6C8F37C6F287}" type="TxLink">
                      <a:rPr lang="en-US" sz="1100" b="1" i="0" u="none" strike="noStrike">
                        <a:solidFill>
                          <a:srgbClr val="FFFF00"/>
                        </a:solidFill>
                        <a:latin typeface="Century Gothic"/>
                      </a:rPr>
                      <a:pPr algn="ctr"/>
                      <a:t>12</a:t>
                    </a:fld>
                    <a:endParaRPr lang="es-CO" sz="1100" b="1">
                      <a:solidFill>
                        <a:srgbClr val="FFFF00"/>
                      </a:solidFill>
                    </a:endParaRPr>
                  </a:p>
                </xdr:txBody>
              </xdr:sp>
              <xdr:sp macro="" textlink="$V$7">
                <xdr:nvSpPr>
                  <xdr:cNvPr id="874" name="Rectángulo 873">
                    <a:extLst>
                      <a:ext uri="{FF2B5EF4-FFF2-40B4-BE49-F238E27FC236}">
                        <a16:creationId xmlns:a16="http://schemas.microsoft.com/office/drawing/2014/main" id="{00000000-0008-0000-0A00-00006A030000}"/>
                      </a:ext>
                    </a:extLst>
                  </xdr:cNvPr>
                  <xdr:cNvSpPr/>
                </xdr:nvSpPr>
                <xdr:spPr>
                  <a:xfrm>
                    <a:off x="17198288" y="12621689"/>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63248BD-B6C3-4FA6-AC08-CA6AAF38B079}" type="TxLink">
                      <a:rPr lang="en-US" sz="1100" b="1" i="0" u="none" strike="noStrike">
                        <a:solidFill>
                          <a:srgbClr val="FFFF00"/>
                        </a:solidFill>
                        <a:latin typeface="Century Gothic"/>
                      </a:rPr>
                      <a:pPr algn="ctr"/>
                      <a:t>14</a:t>
                    </a:fld>
                    <a:endParaRPr lang="es-CO" sz="1100" b="1">
                      <a:solidFill>
                        <a:srgbClr val="FFFF00"/>
                      </a:solidFill>
                    </a:endParaRPr>
                  </a:p>
                </xdr:txBody>
              </xdr:sp>
              <xdr:sp macro="" textlink="">
                <xdr:nvSpPr>
                  <xdr:cNvPr id="875" name="CuadroTexto 874">
                    <a:extLst>
                      <a:ext uri="{FF2B5EF4-FFF2-40B4-BE49-F238E27FC236}">
                        <a16:creationId xmlns:a16="http://schemas.microsoft.com/office/drawing/2014/main" id="{00000000-0008-0000-0A00-00006B030000}"/>
                      </a:ext>
                    </a:extLst>
                  </xdr:cNvPr>
                  <xdr:cNvSpPr txBox="1"/>
                </xdr:nvSpPr>
                <xdr:spPr>
                  <a:xfrm>
                    <a:off x="16855636" y="12601355"/>
                    <a:ext cx="828000" cy="268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5" name="Grupo 4">
                <a:extLst>
                  <a:ext uri="{FF2B5EF4-FFF2-40B4-BE49-F238E27FC236}">
                    <a16:creationId xmlns:a16="http://schemas.microsoft.com/office/drawing/2014/main" id="{00000000-0008-0000-0A00-000005000000}"/>
                  </a:ext>
                </a:extLst>
              </xdr:cNvPr>
              <xdr:cNvGrpSpPr/>
            </xdr:nvGrpSpPr>
            <xdr:grpSpPr>
              <a:xfrm>
                <a:off x="17278367" y="11020793"/>
                <a:ext cx="2627910" cy="737150"/>
                <a:chOff x="17278367" y="11020793"/>
                <a:chExt cx="2627910" cy="737150"/>
              </a:xfrm>
            </xdr:grpSpPr>
            <xdr:grpSp>
              <xdr:nvGrpSpPr>
                <xdr:cNvPr id="863" name="Grupo 862">
                  <a:extLst>
                    <a:ext uri="{FF2B5EF4-FFF2-40B4-BE49-F238E27FC236}">
                      <a16:creationId xmlns:a16="http://schemas.microsoft.com/office/drawing/2014/main" id="{00000000-0008-0000-0A00-00005F030000}"/>
                    </a:ext>
                  </a:extLst>
                </xdr:cNvPr>
                <xdr:cNvGrpSpPr/>
              </xdr:nvGrpSpPr>
              <xdr:grpSpPr>
                <a:xfrm>
                  <a:off x="17278367" y="11020793"/>
                  <a:ext cx="2627910" cy="721687"/>
                  <a:chOff x="28531632" y="2081892"/>
                  <a:chExt cx="2433638" cy="585107"/>
                </a:xfrm>
              </xdr:grpSpPr>
              <xdr:sp macro="" textlink="">
                <xdr:nvSpPr>
                  <xdr:cNvPr id="868" name="Cheurón 867">
                    <a:extLst>
                      <a:ext uri="{FF2B5EF4-FFF2-40B4-BE49-F238E27FC236}">
                        <a16:creationId xmlns:a16="http://schemas.microsoft.com/office/drawing/2014/main" id="{00000000-0008-0000-0A00-000064030000}"/>
                      </a:ext>
                    </a:extLst>
                  </xdr:cNvPr>
                  <xdr:cNvSpPr/>
                </xdr:nvSpPr>
                <xdr:spPr>
                  <a:xfrm>
                    <a:off x="28531632"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69" name="CuadroTexto 868">
                    <a:extLst>
                      <a:ext uri="{FF2B5EF4-FFF2-40B4-BE49-F238E27FC236}">
                        <a16:creationId xmlns:a16="http://schemas.microsoft.com/office/drawing/2014/main" id="{00000000-0008-0000-0A00-000065030000}"/>
                      </a:ext>
                    </a:extLst>
                  </xdr:cNvPr>
                  <xdr:cNvSpPr txBox="1"/>
                </xdr:nvSpPr>
                <xdr:spPr>
                  <a:xfrm>
                    <a:off x="28789623" y="2127664"/>
                    <a:ext cx="1518946"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DEL</a:t>
                    </a:r>
                  </a:p>
                  <a:p>
                    <a:pPr algn="ctr"/>
                    <a:r>
                      <a:rPr lang="es-CO" sz="1100" b="1">
                        <a:solidFill>
                          <a:schemeClr val="bg1"/>
                        </a:solidFill>
                        <a:latin typeface="Century Gothic" panose="020B0502020202020204" pitchFamily="34" charset="0"/>
                      </a:rPr>
                      <a:t>CONOCIMIENTO Y LA</a:t>
                    </a:r>
                  </a:p>
                  <a:p>
                    <a:pPr algn="ctr"/>
                    <a:r>
                      <a:rPr lang="es-CO" sz="1100" b="1">
                        <a:solidFill>
                          <a:schemeClr val="bg1"/>
                        </a:solidFill>
                        <a:latin typeface="Century Gothic" panose="020B0502020202020204" pitchFamily="34" charset="0"/>
                      </a:rPr>
                      <a:t>INNIVACION</a:t>
                    </a:r>
                  </a:p>
                </xdr:txBody>
              </xdr:sp>
              <xdr:sp macro="" textlink="$P$8">
                <xdr:nvSpPr>
                  <xdr:cNvPr id="870" name="Rectángulo redondeado 869">
                    <a:extLst>
                      <a:ext uri="{FF2B5EF4-FFF2-40B4-BE49-F238E27FC236}">
                        <a16:creationId xmlns:a16="http://schemas.microsoft.com/office/drawing/2014/main" id="{00000000-0008-0000-0A00-000066030000}"/>
                      </a:ext>
                    </a:extLst>
                  </xdr:cNvPr>
                  <xdr:cNvSpPr/>
                </xdr:nvSpPr>
                <xdr:spPr>
                  <a:xfrm>
                    <a:off x="30090035"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91F6E5E-7D44-48F3-A52E-DE60B8763AD2}" type="TxLink">
                      <a:rPr lang="en-US" sz="1600" b="1" i="0" u="none" strike="noStrike">
                        <a:solidFill>
                          <a:srgbClr val="FFFF00"/>
                        </a:solidFill>
                        <a:latin typeface="Century Gothic"/>
                      </a:rPr>
                      <a:pPr algn="ctr"/>
                      <a:t>-</a:t>
                    </a:fld>
                    <a:endParaRPr lang="es-CO" sz="4800">
                      <a:solidFill>
                        <a:srgbClr val="FFFF00"/>
                      </a:solidFill>
                    </a:endParaRPr>
                  </a:p>
                </xdr:txBody>
              </xdr:sp>
            </xdr:grpSp>
            <xdr:grpSp>
              <xdr:nvGrpSpPr>
                <xdr:cNvPr id="864" name="Grupo 863">
                  <a:extLst>
                    <a:ext uri="{FF2B5EF4-FFF2-40B4-BE49-F238E27FC236}">
                      <a16:creationId xmlns:a16="http://schemas.microsoft.com/office/drawing/2014/main" id="{00000000-0008-0000-0A00-000060030000}"/>
                    </a:ext>
                  </a:extLst>
                </xdr:cNvPr>
                <xdr:cNvGrpSpPr/>
              </xdr:nvGrpSpPr>
              <xdr:grpSpPr>
                <a:xfrm>
                  <a:off x="18951796" y="11483385"/>
                  <a:ext cx="829523" cy="274558"/>
                  <a:chOff x="19306403" y="12641831"/>
                  <a:chExt cx="828000" cy="279565"/>
                </a:xfrm>
              </xdr:grpSpPr>
              <xdr:sp macro="" textlink="$O$8">
                <xdr:nvSpPr>
                  <xdr:cNvPr id="865" name="Rectángulo 864">
                    <a:extLst>
                      <a:ext uri="{FF2B5EF4-FFF2-40B4-BE49-F238E27FC236}">
                        <a16:creationId xmlns:a16="http://schemas.microsoft.com/office/drawing/2014/main" id="{00000000-0008-0000-0A00-000061030000}"/>
                      </a:ext>
                    </a:extLst>
                  </xdr:cNvPr>
                  <xdr:cNvSpPr/>
                </xdr:nvSpPr>
                <xdr:spPr>
                  <a:xfrm>
                    <a:off x="19354400"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B89987-AF06-4511-A027-DF43F0B38D0B}"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V$8">
                <xdr:nvSpPr>
                  <xdr:cNvPr id="866" name="Rectángulo 865">
                    <a:extLst>
                      <a:ext uri="{FF2B5EF4-FFF2-40B4-BE49-F238E27FC236}">
                        <a16:creationId xmlns:a16="http://schemas.microsoft.com/office/drawing/2014/main" id="{00000000-0008-0000-0A00-000062030000}"/>
                      </a:ext>
                    </a:extLst>
                  </xdr:cNvPr>
                  <xdr:cNvSpPr/>
                </xdr:nvSpPr>
                <xdr:spPr>
                  <a:xfrm>
                    <a:off x="19649055" y="12641831"/>
                    <a:ext cx="432000"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146D433-7539-4BC4-8770-804699BB0EDC}"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
                <xdr:nvSpPr>
                  <xdr:cNvPr id="867" name="CuadroTexto 866">
                    <a:extLst>
                      <a:ext uri="{FF2B5EF4-FFF2-40B4-BE49-F238E27FC236}">
                        <a16:creationId xmlns:a16="http://schemas.microsoft.com/office/drawing/2014/main" id="{00000000-0008-0000-0A00-000063030000}"/>
                      </a:ext>
                    </a:extLst>
                  </xdr:cNvPr>
                  <xdr:cNvSpPr txBox="1"/>
                </xdr:nvSpPr>
                <xdr:spPr>
                  <a:xfrm>
                    <a:off x="19306403" y="12644010"/>
                    <a:ext cx="828000" cy="268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854" name="Grupo 853">
                <a:extLst>
                  <a:ext uri="{FF2B5EF4-FFF2-40B4-BE49-F238E27FC236}">
                    <a16:creationId xmlns:a16="http://schemas.microsoft.com/office/drawing/2014/main" id="{00000000-0008-0000-0A00-000056030000}"/>
                  </a:ext>
                </a:extLst>
              </xdr:cNvPr>
              <xdr:cNvGrpSpPr/>
            </xdr:nvGrpSpPr>
            <xdr:grpSpPr>
              <a:xfrm>
                <a:off x="19702668" y="11020792"/>
                <a:ext cx="2627879" cy="737197"/>
                <a:chOff x="20055895" y="12043791"/>
                <a:chExt cx="2623053" cy="750638"/>
              </a:xfrm>
            </xdr:grpSpPr>
            <xdr:grpSp>
              <xdr:nvGrpSpPr>
                <xdr:cNvPr id="855" name="Grupo 854">
                  <a:extLst>
                    <a:ext uri="{FF2B5EF4-FFF2-40B4-BE49-F238E27FC236}">
                      <a16:creationId xmlns:a16="http://schemas.microsoft.com/office/drawing/2014/main" id="{00000000-0008-0000-0A00-000057030000}"/>
                    </a:ext>
                  </a:extLst>
                </xdr:cNvPr>
                <xdr:cNvGrpSpPr/>
              </xdr:nvGrpSpPr>
              <xdr:grpSpPr>
                <a:xfrm>
                  <a:off x="20055895" y="12043791"/>
                  <a:ext cx="2623053" cy="734845"/>
                  <a:chOff x="28468627" y="2081892"/>
                  <a:chExt cx="2433638" cy="585107"/>
                </a:xfrm>
              </xdr:grpSpPr>
              <xdr:sp macro="" textlink="">
                <xdr:nvSpPr>
                  <xdr:cNvPr id="860" name="Cheurón 859">
                    <a:extLst>
                      <a:ext uri="{FF2B5EF4-FFF2-40B4-BE49-F238E27FC236}">
                        <a16:creationId xmlns:a16="http://schemas.microsoft.com/office/drawing/2014/main" id="{00000000-0008-0000-0A00-00005C030000}"/>
                      </a:ext>
                    </a:extLst>
                  </xdr:cNvPr>
                  <xdr:cNvSpPr/>
                </xdr:nvSpPr>
                <xdr:spPr>
                  <a:xfrm>
                    <a:off x="28468627" y="2081892"/>
                    <a:ext cx="2433638" cy="585107"/>
                  </a:xfrm>
                  <a:prstGeom prst="chevron">
                    <a:avLst>
                      <a:gd name="adj" fmla="val 33720"/>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61" name="CuadroTexto 860">
                    <a:extLst>
                      <a:ext uri="{FF2B5EF4-FFF2-40B4-BE49-F238E27FC236}">
                        <a16:creationId xmlns:a16="http://schemas.microsoft.com/office/drawing/2014/main" id="{00000000-0008-0000-0A00-00005D030000}"/>
                      </a:ext>
                    </a:extLst>
                  </xdr:cNvPr>
                  <xdr:cNvSpPr txBox="1"/>
                </xdr:nvSpPr>
                <xdr:spPr>
                  <a:xfrm>
                    <a:off x="28782571" y="2196605"/>
                    <a:ext cx="1158403" cy="356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VENTA</a:t>
                    </a:r>
                  </a:p>
                  <a:p>
                    <a:pPr algn="ctr"/>
                    <a:r>
                      <a:rPr lang="es-CO" sz="1100" b="1">
                        <a:solidFill>
                          <a:schemeClr val="bg1"/>
                        </a:solidFill>
                        <a:latin typeface="Century Gothic" panose="020B0502020202020204" pitchFamily="34" charset="0"/>
                      </a:rPr>
                      <a:t>DE</a:t>
                    </a:r>
                    <a:r>
                      <a:rPr lang="es-CO" sz="1100" b="1" baseline="0">
                        <a:solidFill>
                          <a:schemeClr val="bg1"/>
                        </a:solidFill>
                        <a:latin typeface="Century Gothic" panose="020B0502020202020204" pitchFamily="34" charset="0"/>
                      </a:rPr>
                      <a:t> SERVICIOS</a:t>
                    </a:r>
                    <a:endParaRPr lang="es-CO" sz="1100" b="1">
                      <a:solidFill>
                        <a:schemeClr val="bg1"/>
                      </a:solidFill>
                      <a:latin typeface="Century Gothic" panose="020B0502020202020204" pitchFamily="34" charset="0"/>
                    </a:endParaRPr>
                  </a:p>
                </xdr:txBody>
              </xdr:sp>
              <xdr:sp macro="" textlink="$P$9">
                <xdr:nvSpPr>
                  <xdr:cNvPr id="862" name="Rectángulo redondeado 861">
                    <a:extLst>
                      <a:ext uri="{FF2B5EF4-FFF2-40B4-BE49-F238E27FC236}">
                        <a16:creationId xmlns:a16="http://schemas.microsoft.com/office/drawing/2014/main" id="{00000000-0008-0000-0A00-00005E030000}"/>
                      </a:ext>
                    </a:extLst>
                  </xdr:cNvPr>
                  <xdr:cNvSpPr/>
                </xdr:nvSpPr>
                <xdr:spPr>
                  <a:xfrm>
                    <a:off x="30000728" y="2168635"/>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E93C2AF-D81D-456E-B62B-3976DEF494AE}" type="TxLink">
                      <a:rPr lang="en-US" sz="1600" b="1" i="0" u="none" strike="noStrike">
                        <a:solidFill>
                          <a:srgbClr val="FFFF00"/>
                        </a:solidFill>
                        <a:latin typeface="Century Gothic"/>
                      </a:rPr>
                      <a:pPr algn="ctr"/>
                      <a:t>90,9%</a:t>
                    </a:fld>
                    <a:endParaRPr lang="es-CO" sz="3200">
                      <a:solidFill>
                        <a:srgbClr val="FFFF00"/>
                      </a:solidFill>
                    </a:endParaRPr>
                  </a:p>
                </xdr:txBody>
              </xdr:sp>
            </xdr:grpSp>
            <xdr:grpSp>
              <xdr:nvGrpSpPr>
                <xdr:cNvPr id="856" name="Grupo 855">
                  <a:extLst>
                    <a:ext uri="{FF2B5EF4-FFF2-40B4-BE49-F238E27FC236}">
                      <a16:creationId xmlns:a16="http://schemas.microsoft.com/office/drawing/2014/main" id="{00000000-0008-0000-0A00-000058030000}"/>
                    </a:ext>
                  </a:extLst>
                </xdr:cNvPr>
                <xdr:cNvGrpSpPr/>
              </xdr:nvGrpSpPr>
              <xdr:grpSpPr>
                <a:xfrm>
                  <a:off x="21697227" y="12499728"/>
                  <a:ext cx="825527" cy="294701"/>
                  <a:chOff x="21697227" y="12713285"/>
                  <a:chExt cx="825527" cy="294701"/>
                </a:xfrm>
              </xdr:grpSpPr>
              <xdr:sp macro="" textlink="$O$9">
                <xdr:nvSpPr>
                  <xdr:cNvPr id="857" name="Rectángulo 856">
                    <a:extLst>
                      <a:ext uri="{FF2B5EF4-FFF2-40B4-BE49-F238E27FC236}">
                        <a16:creationId xmlns:a16="http://schemas.microsoft.com/office/drawing/2014/main" id="{00000000-0008-0000-0A00-000059030000}"/>
                      </a:ext>
                    </a:extLst>
                  </xdr:cNvPr>
                  <xdr:cNvSpPr/>
                </xdr:nvSpPr>
                <xdr:spPr>
                  <a:xfrm>
                    <a:off x="21745223" y="12728421"/>
                    <a:ext cx="429527"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3C4EFCE-D851-4F37-A5D2-0C96E6F6509B}" type="TxLink">
                      <a:rPr lang="en-US" sz="1100" b="1" i="0" u="none" strike="noStrike">
                        <a:solidFill>
                          <a:srgbClr val="FFFF00"/>
                        </a:solidFill>
                        <a:latin typeface="Century Gothic"/>
                      </a:rPr>
                      <a:pPr algn="ctr"/>
                      <a:t>10</a:t>
                    </a:fld>
                    <a:endParaRPr lang="es-CO" sz="1100" b="1">
                      <a:solidFill>
                        <a:srgbClr val="FFFF00"/>
                      </a:solidFill>
                    </a:endParaRPr>
                  </a:p>
                </xdr:txBody>
              </xdr:sp>
              <xdr:sp macro="" textlink="$V$9">
                <xdr:nvSpPr>
                  <xdr:cNvPr id="858" name="Rectángulo 857">
                    <a:extLst>
                      <a:ext uri="{FF2B5EF4-FFF2-40B4-BE49-F238E27FC236}">
                        <a16:creationId xmlns:a16="http://schemas.microsoft.com/office/drawing/2014/main" id="{00000000-0008-0000-0A00-00005A030000}"/>
                      </a:ext>
                    </a:extLst>
                  </xdr:cNvPr>
                  <xdr:cNvSpPr/>
                </xdr:nvSpPr>
                <xdr:spPr>
                  <a:xfrm>
                    <a:off x="22037405" y="12728421"/>
                    <a:ext cx="422475" cy="279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AD80643-ECCF-4726-ABE4-9E3280DD566A}" type="TxLink">
                      <a:rPr lang="en-US" sz="1100" b="1" i="0" u="none" strike="noStrike">
                        <a:solidFill>
                          <a:srgbClr val="FFFF00"/>
                        </a:solidFill>
                        <a:latin typeface="Century Gothic"/>
                      </a:rPr>
                      <a:pPr algn="ctr"/>
                      <a:t>11</a:t>
                    </a:fld>
                    <a:endParaRPr lang="es-CO" sz="1100" b="1">
                      <a:solidFill>
                        <a:srgbClr val="FFFF00"/>
                      </a:solidFill>
                    </a:endParaRPr>
                  </a:p>
                </xdr:txBody>
              </xdr:sp>
              <xdr:sp macro="" textlink="">
                <xdr:nvSpPr>
                  <xdr:cNvPr id="859" name="CuadroTexto 858">
                    <a:extLst>
                      <a:ext uri="{FF2B5EF4-FFF2-40B4-BE49-F238E27FC236}">
                        <a16:creationId xmlns:a16="http://schemas.microsoft.com/office/drawing/2014/main" id="{00000000-0008-0000-0A00-00005B030000}"/>
                      </a:ext>
                    </a:extLst>
                  </xdr:cNvPr>
                  <xdr:cNvSpPr txBox="1"/>
                </xdr:nvSpPr>
                <xdr:spPr>
                  <a:xfrm>
                    <a:off x="21697227" y="12713285"/>
                    <a:ext cx="825527" cy="268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grpSp>
      <xdr:grpSp>
        <xdr:nvGrpSpPr>
          <xdr:cNvPr id="921" name="Grupo 920">
            <a:extLst>
              <a:ext uri="{FF2B5EF4-FFF2-40B4-BE49-F238E27FC236}">
                <a16:creationId xmlns:a16="http://schemas.microsoft.com/office/drawing/2014/main" id="{00000000-0008-0000-0A00-000099030000}"/>
              </a:ext>
            </a:extLst>
          </xdr:cNvPr>
          <xdr:cNvGrpSpPr/>
        </xdr:nvGrpSpPr>
        <xdr:grpSpPr>
          <a:xfrm>
            <a:off x="11614957" y="12172473"/>
            <a:ext cx="10748790" cy="1515792"/>
            <a:chOff x="23578289" y="12139226"/>
            <a:chExt cx="10743464" cy="1572111"/>
          </a:xfrm>
        </xdr:grpSpPr>
        <xdr:grpSp>
          <xdr:nvGrpSpPr>
            <xdr:cNvPr id="756" name="Grupo 755">
              <a:extLst>
                <a:ext uri="{FF2B5EF4-FFF2-40B4-BE49-F238E27FC236}">
                  <a16:creationId xmlns:a16="http://schemas.microsoft.com/office/drawing/2014/main" id="{00000000-0008-0000-0A00-0000F4020000}"/>
                </a:ext>
              </a:extLst>
            </xdr:cNvPr>
            <xdr:cNvGrpSpPr/>
          </xdr:nvGrpSpPr>
          <xdr:grpSpPr>
            <a:xfrm>
              <a:off x="24398491" y="12144861"/>
              <a:ext cx="2159944" cy="773877"/>
              <a:chOff x="12802141" y="13263561"/>
              <a:chExt cx="2157046" cy="759759"/>
            </a:xfrm>
          </xdr:grpSpPr>
          <xdr:grpSp>
            <xdr:nvGrpSpPr>
              <xdr:cNvPr id="841" name="Grupo 840">
                <a:extLst>
                  <a:ext uri="{FF2B5EF4-FFF2-40B4-BE49-F238E27FC236}">
                    <a16:creationId xmlns:a16="http://schemas.microsoft.com/office/drawing/2014/main" id="{00000000-0008-0000-0A00-000049030000}"/>
                  </a:ext>
                </a:extLst>
              </xdr:cNvPr>
              <xdr:cNvGrpSpPr/>
            </xdr:nvGrpSpPr>
            <xdr:grpSpPr>
              <a:xfrm>
                <a:off x="12802141" y="13263561"/>
                <a:ext cx="2157046" cy="732326"/>
                <a:chOff x="28686311" y="2081892"/>
                <a:chExt cx="2000250" cy="585107"/>
              </a:xfrm>
            </xdr:grpSpPr>
            <xdr:sp macro="" textlink="">
              <xdr:nvSpPr>
                <xdr:cNvPr id="846" name="Cheurón 845">
                  <a:extLst>
                    <a:ext uri="{FF2B5EF4-FFF2-40B4-BE49-F238E27FC236}">
                      <a16:creationId xmlns:a16="http://schemas.microsoft.com/office/drawing/2014/main" id="{00000000-0008-0000-0A00-00004E030000}"/>
                    </a:ext>
                  </a:extLst>
                </xdr:cNvPr>
                <xdr:cNvSpPr/>
              </xdr:nvSpPr>
              <xdr:spPr>
                <a:xfrm>
                  <a:off x="2868631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47" name="CuadroTexto 846">
                  <a:extLst>
                    <a:ext uri="{FF2B5EF4-FFF2-40B4-BE49-F238E27FC236}">
                      <a16:creationId xmlns:a16="http://schemas.microsoft.com/office/drawing/2014/main" id="{00000000-0008-0000-0A00-00004F030000}"/>
                    </a:ext>
                  </a:extLst>
                </xdr:cNvPr>
                <xdr:cNvSpPr txBox="1"/>
              </xdr:nvSpPr>
              <xdr:spPr>
                <a:xfrm>
                  <a:off x="28878836" y="2159695"/>
                  <a:ext cx="1117230"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 P Y P</a:t>
                  </a:r>
                </a:p>
              </xdr:txBody>
            </xdr:sp>
            <xdr:sp macro="" textlink="$P$10">
              <xdr:nvSpPr>
                <xdr:cNvPr id="848" name="Rectángulo redondeado 847">
                  <a:extLst>
                    <a:ext uri="{FF2B5EF4-FFF2-40B4-BE49-F238E27FC236}">
                      <a16:creationId xmlns:a16="http://schemas.microsoft.com/office/drawing/2014/main" id="{00000000-0008-0000-0A00-000050030000}"/>
                    </a:ext>
                  </a:extLst>
                </xdr:cNvPr>
                <xdr:cNvSpPr/>
              </xdr:nvSpPr>
              <xdr:spPr>
                <a:xfrm>
                  <a:off x="29808259" y="217277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066E2DA-ABC8-4664-AD65-5473D8E176D2}" type="TxLink">
                    <a:rPr lang="en-US" sz="1600" b="1" i="0" u="none" strike="noStrike">
                      <a:solidFill>
                        <a:srgbClr val="FFFF00"/>
                      </a:solidFill>
                      <a:latin typeface="Century Gothic"/>
                    </a:rPr>
                    <a:pPr algn="ctr"/>
                    <a:t>35,3%</a:t>
                  </a:fld>
                  <a:endParaRPr lang="es-CO" sz="3200">
                    <a:solidFill>
                      <a:srgbClr val="FFFF00"/>
                    </a:solidFill>
                  </a:endParaRPr>
                </a:p>
              </xdr:txBody>
            </xdr:sp>
          </xdr:grpSp>
          <xdr:grpSp>
            <xdr:nvGrpSpPr>
              <xdr:cNvPr id="842" name="Grupo 841">
                <a:extLst>
                  <a:ext uri="{FF2B5EF4-FFF2-40B4-BE49-F238E27FC236}">
                    <a16:creationId xmlns:a16="http://schemas.microsoft.com/office/drawing/2014/main" id="{00000000-0008-0000-0A00-00004A030000}"/>
                  </a:ext>
                </a:extLst>
              </xdr:cNvPr>
              <xdr:cNvGrpSpPr/>
            </xdr:nvGrpSpPr>
            <xdr:grpSpPr>
              <a:xfrm>
                <a:off x="14002235" y="13728636"/>
                <a:ext cx="828000" cy="294684"/>
                <a:chOff x="14028212" y="13841203"/>
                <a:chExt cx="828000" cy="294684"/>
              </a:xfrm>
            </xdr:grpSpPr>
            <xdr:sp macro="" textlink="$O$10">
              <xdr:nvSpPr>
                <xdr:cNvPr id="843" name="Rectángulo 842">
                  <a:extLst>
                    <a:ext uri="{FF2B5EF4-FFF2-40B4-BE49-F238E27FC236}">
                      <a16:creationId xmlns:a16="http://schemas.microsoft.com/office/drawing/2014/main" id="{00000000-0008-0000-0A00-00004B030000}"/>
                    </a:ext>
                  </a:extLst>
                </xdr:cNvPr>
                <xdr:cNvSpPr/>
              </xdr:nvSpPr>
              <xdr:spPr>
                <a:xfrm>
                  <a:off x="14084867" y="1386003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50D1064-CC67-4F31-83B7-84C2B481D4E6}"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V$10">
              <xdr:nvSpPr>
                <xdr:cNvPr id="844" name="Rectángulo 843">
                  <a:extLst>
                    <a:ext uri="{FF2B5EF4-FFF2-40B4-BE49-F238E27FC236}">
                      <a16:creationId xmlns:a16="http://schemas.microsoft.com/office/drawing/2014/main" id="{00000000-0008-0000-0A00-00004C030000}"/>
                    </a:ext>
                  </a:extLst>
                </xdr:cNvPr>
                <xdr:cNvSpPr/>
              </xdr:nvSpPr>
              <xdr:spPr>
                <a:xfrm>
                  <a:off x="14362204" y="1386003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C10CA7-6563-435F-8A3F-0DCA002DAF1C}" type="TxLink">
                    <a:rPr lang="en-US" sz="1100" b="1" i="0" u="none" strike="noStrike">
                      <a:solidFill>
                        <a:srgbClr val="FFFF00"/>
                      </a:solidFill>
                      <a:latin typeface="Century Gothic"/>
                    </a:rPr>
                    <a:pPr algn="ctr"/>
                    <a:t>17</a:t>
                  </a:fld>
                  <a:endParaRPr lang="es-CO" sz="1100" b="1">
                    <a:solidFill>
                      <a:srgbClr val="FFFF00"/>
                    </a:solidFill>
                  </a:endParaRPr>
                </a:p>
              </xdr:txBody>
            </xdr:sp>
            <xdr:sp macro="" textlink="">
              <xdr:nvSpPr>
                <xdr:cNvPr id="845" name="CuadroTexto 844">
                  <a:extLst>
                    <a:ext uri="{FF2B5EF4-FFF2-40B4-BE49-F238E27FC236}">
                      <a16:creationId xmlns:a16="http://schemas.microsoft.com/office/drawing/2014/main" id="{00000000-0008-0000-0A00-00004D030000}"/>
                    </a:ext>
                  </a:extLst>
                </xdr:cNvPr>
                <xdr:cNvSpPr txBox="1"/>
              </xdr:nvSpPr>
              <xdr:spPr>
                <a:xfrm>
                  <a:off x="14028212" y="13841203"/>
                  <a:ext cx="828000" cy="271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757" name="Grupo 756">
              <a:extLst>
                <a:ext uri="{FF2B5EF4-FFF2-40B4-BE49-F238E27FC236}">
                  <a16:creationId xmlns:a16="http://schemas.microsoft.com/office/drawing/2014/main" id="{00000000-0008-0000-0A00-0000F5020000}"/>
                </a:ext>
              </a:extLst>
            </xdr:cNvPr>
            <xdr:cNvGrpSpPr/>
          </xdr:nvGrpSpPr>
          <xdr:grpSpPr>
            <a:xfrm>
              <a:off x="26343270" y="12147683"/>
              <a:ext cx="2159946" cy="768033"/>
              <a:chOff x="14744310" y="13266331"/>
              <a:chExt cx="2157048" cy="754021"/>
            </a:xfrm>
          </xdr:grpSpPr>
          <xdr:grpSp>
            <xdr:nvGrpSpPr>
              <xdr:cNvPr id="833" name="Grupo 832">
                <a:extLst>
                  <a:ext uri="{FF2B5EF4-FFF2-40B4-BE49-F238E27FC236}">
                    <a16:creationId xmlns:a16="http://schemas.microsoft.com/office/drawing/2014/main" id="{00000000-0008-0000-0A00-000041030000}"/>
                  </a:ext>
                </a:extLst>
              </xdr:cNvPr>
              <xdr:cNvGrpSpPr/>
            </xdr:nvGrpSpPr>
            <xdr:grpSpPr>
              <a:xfrm>
                <a:off x="14744310" y="13266331"/>
                <a:ext cx="2157048" cy="732326"/>
                <a:chOff x="28670251" y="2081892"/>
                <a:chExt cx="2000250" cy="585107"/>
              </a:xfrm>
            </xdr:grpSpPr>
            <xdr:sp macro="" textlink="">
              <xdr:nvSpPr>
                <xdr:cNvPr id="838" name="Cheurón 837">
                  <a:extLst>
                    <a:ext uri="{FF2B5EF4-FFF2-40B4-BE49-F238E27FC236}">
                      <a16:creationId xmlns:a16="http://schemas.microsoft.com/office/drawing/2014/main" id="{00000000-0008-0000-0A00-000046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39" name="CuadroTexto 838">
                  <a:extLst>
                    <a:ext uri="{FF2B5EF4-FFF2-40B4-BE49-F238E27FC236}">
                      <a16:creationId xmlns:a16="http://schemas.microsoft.com/office/drawing/2014/main" id="{00000000-0008-0000-0A00-000047030000}"/>
                    </a:ext>
                  </a:extLst>
                </xdr:cNvPr>
                <xdr:cNvSpPr txBox="1"/>
              </xdr:nvSpPr>
              <xdr:spPr>
                <a:xfrm>
                  <a:off x="28867685" y="2166613"/>
                  <a:ext cx="1157817"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AMBULATORIA</a:t>
                  </a:r>
                </a:p>
              </xdr:txBody>
            </xdr:sp>
            <xdr:sp macro="" textlink="$P$11">
              <xdr:nvSpPr>
                <xdr:cNvPr id="840" name="Rectángulo redondeado 839">
                  <a:extLst>
                    <a:ext uri="{FF2B5EF4-FFF2-40B4-BE49-F238E27FC236}">
                      <a16:creationId xmlns:a16="http://schemas.microsoft.com/office/drawing/2014/main" id="{00000000-0008-0000-0A00-000048030000}"/>
                    </a:ext>
                  </a:extLst>
                </xdr:cNvPr>
                <xdr:cNvSpPr/>
              </xdr:nvSpPr>
              <xdr:spPr>
                <a:xfrm>
                  <a:off x="29779599"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8539B5-D09A-41FA-8AAE-D37A811025E9}" type="TxLink">
                    <a:rPr lang="en-US" sz="1600" b="1" i="0" u="none" strike="noStrike">
                      <a:solidFill>
                        <a:srgbClr val="FFFF00"/>
                      </a:solidFill>
                      <a:latin typeface="Century Gothic"/>
                    </a:rPr>
                    <a:pPr algn="ctr"/>
                    <a:t>66,7%</a:t>
                  </a:fld>
                  <a:endParaRPr lang="es-CO" sz="3600">
                    <a:solidFill>
                      <a:srgbClr val="FFFF00"/>
                    </a:solidFill>
                  </a:endParaRPr>
                </a:p>
              </xdr:txBody>
            </xdr:sp>
          </xdr:grpSp>
          <xdr:grpSp>
            <xdr:nvGrpSpPr>
              <xdr:cNvPr id="834" name="Grupo 833">
                <a:extLst>
                  <a:ext uri="{FF2B5EF4-FFF2-40B4-BE49-F238E27FC236}">
                    <a16:creationId xmlns:a16="http://schemas.microsoft.com/office/drawing/2014/main" id="{00000000-0008-0000-0A00-000042030000}"/>
                  </a:ext>
                </a:extLst>
              </xdr:cNvPr>
              <xdr:cNvGrpSpPr/>
            </xdr:nvGrpSpPr>
            <xdr:grpSpPr>
              <a:xfrm>
                <a:off x="15935931" y="13723937"/>
                <a:ext cx="828000" cy="296415"/>
                <a:chOff x="16013862" y="13836504"/>
                <a:chExt cx="828000" cy="296415"/>
              </a:xfrm>
            </xdr:grpSpPr>
            <xdr:sp macro="" textlink="$O$11">
              <xdr:nvSpPr>
                <xdr:cNvPr id="835" name="Rectángulo 834">
                  <a:extLst>
                    <a:ext uri="{FF2B5EF4-FFF2-40B4-BE49-F238E27FC236}">
                      <a16:creationId xmlns:a16="http://schemas.microsoft.com/office/drawing/2014/main" id="{00000000-0008-0000-0A00-000043030000}"/>
                    </a:ext>
                  </a:extLst>
                </xdr:cNvPr>
                <xdr:cNvSpPr/>
              </xdr:nvSpPr>
              <xdr:spPr>
                <a:xfrm>
                  <a:off x="16070517" y="13857065"/>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0AABE93-BF0F-467A-BD02-701FA096E6C8}"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V$11">
              <xdr:nvSpPr>
                <xdr:cNvPr id="836" name="Rectángulo 835">
                  <a:extLst>
                    <a:ext uri="{FF2B5EF4-FFF2-40B4-BE49-F238E27FC236}">
                      <a16:creationId xmlns:a16="http://schemas.microsoft.com/office/drawing/2014/main" id="{00000000-0008-0000-0A00-000044030000}"/>
                    </a:ext>
                  </a:extLst>
                </xdr:cNvPr>
                <xdr:cNvSpPr/>
              </xdr:nvSpPr>
              <xdr:spPr>
                <a:xfrm>
                  <a:off x="16365172" y="13857065"/>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EB5D330-4BC9-4132-9F06-53473B92C515}"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
              <xdr:nvSpPr>
                <xdr:cNvPr id="837" name="CuadroTexto 836">
                  <a:extLst>
                    <a:ext uri="{FF2B5EF4-FFF2-40B4-BE49-F238E27FC236}">
                      <a16:creationId xmlns:a16="http://schemas.microsoft.com/office/drawing/2014/main" id="{00000000-0008-0000-0A00-000045030000}"/>
                    </a:ext>
                  </a:extLst>
                </xdr:cNvPr>
                <xdr:cNvSpPr txBox="1"/>
              </xdr:nvSpPr>
              <xdr:spPr>
                <a:xfrm>
                  <a:off x="16013862" y="13836504"/>
                  <a:ext cx="828000" cy="27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758" name="Grupo 757">
              <a:extLst>
                <a:ext uri="{FF2B5EF4-FFF2-40B4-BE49-F238E27FC236}">
                  <a16:creationId xmlns:a16="http://schemas.microsoft.com/office/drawing/2014/main" id="{00000000-0008-0000-0A00-0000F6020000}"/>
                </a:ext>
              </a:extLst>
            </xdr:cNvPr>
            <xdr:cNvGrpSpPr/>
          </xdr:nvGrpSpPr>
          <xdr:grpSpPr>
            <a:xfrm>
              <a:off x="28305356" y="12150503"/>
              <a:ext cx="2159945" cy="766600"/>
              <a:chOff x="16703763" y="13269100"/>
              <a:chExt cx="2157047" cy="752614"/>
            </a:xfrm>
          </xdr:grpSpPr>
          <xdr:grpSp>
            <xdr:nvGrpSpPr>
              <xdr:cNvPr id="825" name="Grupo 824">
                <a:extLst>
                  <a:ext uri="{FF2B5EF4-FFF2-40B4-BE49-F238E27FC236}">
                    <a16:creationId xmlns:a16="http://schemas.microsoft.com/office/drawing/2014/main" id="{00000000-0008-0000-0A00-000039030000}"/>
                  </a:ext>
                </a:extLst>
              </xdr:cNvPr>
              <xdr:cNvGrpSpPr/>
            </xdr:nvGrpSpPr>
            <xdr:grpSpPr>
              <a:xfrm>
                <a:off x="16703763" y="13269100"/>
                <a:ext cx="2157047" cy="732326"/>
                <a:chOff x="28670251" y="2081892"/>
                <a:chExt cx="2000250" cy="585107"/>
              </a:xfrm>
            </xdr:grpSpPr>
            <xdr:sp macro="" textlink="">
              <xdr:nvSpPr>
                <xdr:cNvPr id="830" name="Cheurón 829">
                  <a:extLst>
                    <a:ext uri="{FF2B5EF4-FFF2-40B4-BE49-F238E27FC236}">
                      <a16:creationId xmlns:a16="http://schemas.microsoft.com/office/drawing/2014/main" id="{00000000-0008-0000-0A00-00003E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31" name="CuadroTexto 830">
                  <a:extLst>
                    <a:ext uri="{FF2B5EF4-FFF2-40B4-BE49-F238E27FC236}">
                      <a16:creationId xmlns:a16="http://schemas.microsoft.com/office/drawing/2014/main" id="{00000000-0008-0000-0A00-00003F030000}"/>
                    </a:ext>
                  </a:extLst>
                </xdr:cNvPr>
                <xdr:cNvSpPr txBox="1"/>
              </xdr:nvSpPr>
              <xdr:spPr>
                <a:xfrm>
                  <a:off x="28872820" y="2159695"/>
                  <a:ext cx="1115434"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URGENCIAS</a:t>
                  </a:r>
                </a:p>
              </xdr:txBody>
            </xdr:sp>
            <xdr:sp macro="" textlink="$P$12">
              <xdr:nvSpPr>
                <xdr:cNvPr id="832" name="Rectángulo redondeado 831">
                  <a:extLst>
                    <a:ext uri="{FF2B5EF4-FFF2-40B4-BE49-F238E27FC236}">
                      <a16:creationId xmlns:a16="http://schemas.microsoft.com/office/drawing/2014/main" id="{00000000-0008-0000-0A00-000040030000}"/>
                    </a:ext>
                  </a:extLst>
                </xdr:cNvPr>
                <xdr:cNvSpPr/>
              </xdr:nvSpPr>
              <xdr:spPr>
                <a:xfrm>
                  <a:off x="29784173" y="2169996"/>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5CD2E3D-4133-47B0-B021-A2CC5FCBA7ED}" type="TxLink">
                    <a:rPr lang="en-US" sz="1600" b="1" i="0" u="none" strike="noStrike">
                      <a:solidFill>
                        <a:srgbClr val="FFFF00"/>
                      </a:solidFill>
                      <a:latin typeface="Century Gothic"/>
                    </a:rPr>
                    <a:pPr algn="ctr"/>
                    <a:t>38,5%</a:t>
                  </a:fld>
                  <a:endParaRPr lang="es-CO" sz="3600">
                    <a:solidFill>
                      <a:srgbClr val="FFFF00"/>
                    </a:solidFill>
                  </a:endParaRPr>
                </a:p>
              </xdr:txBody>
            </xdr:sp>
          </xdr:grpSp>
          <xdr:grpSp>
            <xdr:nvGrpSpPr>
              <xdr:cNvPr id="826" name="Grupo 825">
                <a:extLst>
                  <a:ext uri="{FF2B5EF4-FFF2-40B4-BE49-F238E27FC236}">
                    <a16:creationId xmlns:a16="http://schemas.microsoft.com/office/drawing/2014/main" id="{00000000-0008-0000-0A00-00003A030000}"/>
                  </a:ext>
                </a:extLst>
              </xdr:cNvPr>
              <xdr:cNvGrpSpPr/>
            </xdr:nvGrpSpPr>
            <xdr:grpSpPr>
              <a:xfrm>
                <a:off x="17898080" y="13725300"/>
                <a:ext cx="828000" cy="296414"/>
                <a:chOff x="17993329" y="13837867"/>
                <a:chExt cx="828000" cy="296414"/>
              </a:xfrm>
            </xdr:grpSpPr>
            <xdr:sp macro="" textlink="$O$12">
              <xdr:nvSpPr>
                <xdr:cNvPr id="827" name="Rectángulo 826">
                  <a:extLst>
                    <a:ext uri="{FF2B5EF4-FFF2-40B4-BE49-F238E27FC236}">
                      <a16:creationId xmlns:a16="http://schemas.microsoft.com/office/drawing/2014/main" id="{00000000-0008-0000-0A00-00003B030000}"/>
                    </a:ext>
                  </a:extLst>
                </xdr:cNvPr>
                <xdr:cNvSpPr/>
              </xdr:nvSpPr>
              <xdr:spPr>
                <a:xfrm>
                  <a:off x="18032666" y="1385842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833BADA-B405-4E3B-A849-85E188264100}" type="TxLink">
                    <a:rPr lang="en-US" sz="1100" b="1" i="0" u="none" strike="noStrike">
                      <a:solidFill>
                        <a:srgbClr val="FFFF00"/>
                      </a:solidFill>
                      <a:latin typeface="Century Gothic"/>
                    </a:rPr>
                    <a:pPr algn="ctr"/>
                    <a:t>5</a:t>
                  </a:fld>
                  <a:endParaRPr lang="es-CO" sz="1100" b="1">
                    <a:solidFill>
                      <a:srgbClr val="FFFF00"/>
                    </a:solidFill>
                  </a:endParaRPr>
                </a:p>
              </xdr:txBody>
            </xdr:sp>
            <xdr:sp macro="" textlink="$V$12">
              <xdr:nvSpPr>
                <xdr:cNvPr id="828" name="Rectángulo 827">
                  <a:extLst>
                    <a:ext uri="{FF2B5EF4-FFF2-40B4-BE49-F238E27FC236}">
                      <a16:creationId xmlns:a16="http://schemas.microsoft.com/office/drawing/2014/main" id="{00000000-0008-0000-0A00-00003C030000}"/>
                    </a:ext>
                  </a:extLst>
                </xdr:cNvPr>
                <xdr:cNvSpPr/>
              </xdr:nvSpPr>
              <xdr:spPr>
                <a:xfrm>
                  <a:off x="18327321" y="1385842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C734285-6524-47EE-A6BE-EB0493C5601E}"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829" name="CuadroTexto 828">
                  <a:extLst>
                    <a:ext uri="{FF2B5EF4-FFF2-40B4-BE49-F238E27FC236}">
                      <a16:creationId xmlns:a16="http://schemas.microsoft.com/office/drawing/2014/main" id="{00000000-0008-0000-0A00-00003D030000}"/>
                    </a:ext>
                  </a:extLst>
                </xdr:cNvPr>
                <xdr:cNvSpPr txBox="1"/>
              </xdr:nvSpPr>
              <xdr:spPr>
                <a:xfrm>
                  <a:off x="17993329" y="13837867"/>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759" name="Grupo 758">
              <a:extLst>
                <a:ext uri="{FF2B5EF4-FFF2-40B4-BE49-F238E27FC236}">
                  <a16:creationId xmlns:a16="http://schemas.microsoft.com/office/drawing/2014/main" id="{00000000-0008-0000-0A00-0000F7020000}"/>
                </a:ext>
              </a:extLst>
            </xdr:cNvPr>
            <xdr:cNvGrpSpPr/>
          </xdr:nvGrpSpPr>
          <xdr:grpSpPr>
            <a:xfrm>
              <a:off x="30253785" y="12139226"/>
              <a:ext cx="2143037" cy="786192"/>
              <a:chOff x="18649578" y="13258030"/>
              <a:chExt cx="2140161" cy="771849"/>
            </a:xfrm>
          </xdr:grpSpPr>
          <xdr:grpSp>
            <xdr:nvGrpSpPr>
              <xdr:cNvPr id="817" name="Grupo 816">
                <a:extLst>
                  <a:ext uri="{FF2B5EF4-FFF2-40B4-BE49-F238E27FC236}">
                    <a16:creationId xmlns:a16="http://schemas.microsoft.com/office/drawing/2014/main" id="{00000000-0008-0000-0A00-000031030000}"/>
                  </a:ext>
                </a:extLst>
              </xdr:cNvPr>
              <xdr:cNvGrpSpPr/>
            </xdr:nvGrpSpPr>
            <xdr:grpSpPr>
              <a:xfrm>
                <a:off x="18649578" y="13258030"/>
                <a:ext cx="2140161" cy="732326"/>
                <a:chOff x="28670251" y="2081892"/>
                <a:chExt cx="2025093" cy="585107"/>
              </a:xfrm>
            </xdr:grpSpPr>
            <xdr:sp macro="" textlink="">
              <xdr:nvSpPr>
                <xdr:cNvPr id="822" name="Cheurón 821">
                  <a:extLst>
                    <a:ext uri="{FF2B5EF4-FFF2-40B4-BE49-F238E27FC236}">
                      <a16:creationId xmlns:a16="http://schemas.microsoft.com/office/drawing/2014/main" id="{00000000-0008-0000-0A00-000036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23" name="CuadroTexto 822">
                  <a:extLst>
                    <a:ext uri="{FF2B5EF4-FFF2-40B4-BE49-F238E27FC236}">
                      <a16:creationId xmlns:a16="http://schemas.microsoft.com/office/drawing/2014/main" id="{00000000-0008-0000-0A00-000037030000}"/>
                    </a:ext>
                  </a:extLst>
                </xdr:cNvPr>
                <xdr:cNvSpPr txBox="1"/>
              </xdr:nvSpPr>
              <xdr:spPr>
                <a:xfrm>
                  <a:off x="28759318" y="2166613"/>
                  <a:ext cx="1403269"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HOSPITALIZACION</a:t>
                  </a:r>
                </a:p>
              </xdr:txBody>
            </xdr:sp>
            <xdr:sp macro="" textlink="$P$13">
              <xdr:nvSpPr>
                <xdr:cNvPr id="824" name="Rectángulo redondeado 823">
                  <a:extLst>
                    <a:ext uri="{FF2B5EF4-FFF2-40B4-BE49-F238E27FC236}">
                      <a16:creationId xmlns:a16="http://schemas.microsoft.com/office/drawing/2014/main" id="{00000000-0008-0000-0A00-000038030000}"/>
                    </a:ext>
                  </a:extLst>
                </xdr:cNvPr>
                <xdr:cNvSpPr/>
              </xdr:nvSpPr>
              <xdr:spPr>
                <a:xfrm>
                  <a:off x="29810881" y="2176914"/>
                  <a:ext cx="88446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08E5CBE-81A8-4547-9F47-38F99F12EDEA}"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818" name="Grupo 817">
                <a:extLst>
                  <a:ext uri="{FF2B5EF4-FFF2-40B4-BE49-F238E27FC236}">
                    <a16:creationId xmlns:a16="http://schemas.microsoft.com/office/drawing/2014/main" id="{00000000-0008-0000-0A00-000032030000}"/>
                  </a:ext>
                </a:extLst>
              </xdr:cNvPr>
              <xdr:cNvGrpSpPr/>
            </xdr:nvGrpSpPr>
            <xdr:grpSpPr>
              <a:xfrm>
                <a:off x="19802083" y="13747310"/>
                <a:ext cx="825525" cy="282569"/>
                <a:chOff x="19905991" y="13859877"/>
                <a:chExt cx="825525" cy="282569"/>
              </a:xfrm>
            </xdr:grpSpPr>
            <xdr:sp macro="" textlink="">
              <xdr:nvSpPr>
                <xdr:cNvPr id="819" name="CuadroTexto 818">
                  <a:extLst>
                    <a:ext uri="{FF2B5EF4-FFF2-40B4-BE49-F238E27FC236}">
                      <a16:creationId xmlns:a16="http://schemas.microsoft.com/office/drawing/2014/main" id="{00000000-0008-0000-0A00-000033030000}"/>
                    </a:ext>
                  </a:extLst>
                </xdr:cNvPr>
                <xdr:cNvSpPr txBox="1"/>
              </xdr:nvSpPr>
              <xdr:spPr>
                <a:xfrm>
                  <a:off x="19905991" y="1385987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13">
              <xdr:nvSpPr>
                <xdr:cNvPr id="820" name="Rectángulo 819">
                  <a:extLst>
                    <a:ext uri="{FF2B5EF4-FFF2-40B4-BE49-F238E27FC236}">
                      <a16:creationId xmlns:a16="http://schemas.microsoft.com/office/drawing/2014/main" id="{00000000-0008-0000-0A00-000034030000}"/>
                    </a:ext>
                  </a:extLst>
                </xdr:cNvPr>
                <xdr:cNvSpPr/>
              </xdr:nvSpPr>
              <xdr:spPr>
                <a:xfrm>
                  <a:off x="19958696" y="13866592"/>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02A485B-1E5E-4062-B681-7068C951B479}" type="TxLink">
                    <a:rPr lang="en-US" sz="1100" b="1" i="0" u="none" strike="noStrike">
                      <a:solidFill>
                        <a:srgbClr val="FFFF00"/>
                      </a:solidFill>
                      <a:latin typeface="Century Gothic"/>
                    </a:rPr>
                    <a:pPr algn="ctr"/>
                    <a:t>0</a:t>
                  </a:fld>
                  <a:endParaRPr lang="es-CO" sz="1100" b="1" i="0">
                    <a:solidFill>
                      <a:srgbClr val="FFFF00"/>
                    </a:solidFill>
                  </a:endParaRPr>
                </a:p>
              </xdr:txBody>
            </xdr:sp>
            <xdr:sp macro="" textlink="$V$13">
              <xdr:nvSpPr>
                <xdr:cNvPr id="821" name="Rectángulo 820">
                  <a:extLst>
                    <a:ext uri="{FF2B5EF4-FFF2-40B4-BE49-F238E27FC236}">
                      <a16:creationId xmlns:a16="http://schemas.microsoft.com/office/drawing/2014/main" id="{00000000-0008-0000-0A00-000035030000}"/>
                    </a:ext>
                  </a:extLst>
                </xdr:cNvPr>
                <xdr:cNvSpPr/>
              </xdr:nvSpPr>
              <xdr:spPr>
                <a:xfrm>
                  <a:off x="20253351" y="13866592"/>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44FCCF2-EF16-45CE-9F70-F85C629084BB}" type="TxLink">
                    <a:rPr lang="en-US" sz="1100" b="1" i="0" u="none" strike="noStrike">
                      <a:solidFill>
                        <a:srgbClr val="FFFF00"/>
                      </a:solidFill>
                      <a:latin typeface="Century Gothic"/>
                    </a:rPr>
                    <a:pPr algn="ctr"/>
                    <a:t>5</a:t>
                  </a:fld>
                  <a:endParaRPr lang="es-CO" sz="1100" b="1">
                    <a:solidFill>
                      <a:srgbClr val="FFFF00"/>
                    </a:solidFill>
                  </a:endParaRPr>
                </a:p>
              </xdr:txBody>
            </xdr:sp>
          </xdr:grpSp>
        </xdr:grpSp>
        <xdr:grpSp>
          <xdr:nvGrpSpPr>
            <xdr:cNvPr id="760" name="Grupo 759">
              <a:extLst>
                <a:ext uri="{FF2B5EF4-FFF2-40B4-BE49-F238E27FC236}">
                  <a16:creationId xmlns:a16="http://schemas.microsoft.com/office/drawing/2014/main" id="{00000000-0008-0000-0A00-0000F8020000}"/>
                </a:ext>
              </a:extLst>
            </xdr:cNvPr>
            <xdr:cNvGrpSpPr/>
          </xdr:nvGrpSpPr>
          <xdr:grpSpPr>
            <a:xfrm>
              <a:off x="23578289" y="12144874"/>
              <a:ext cx="720000" cy="1566463"/>
              <a:chOff x="27404782" y="8354785"/>
              <a:chExt cx="720020" cy="1512000"/>
            </a:xfrm>
          </xdr:grpSpPr>
          <xdr:sp macro="" textlink="">
            <xdr:nvSpPr>
              <xdr:cNvPr id="815" name="Rectángulo 814">
                <a:extLst>
                  <a:ext uri="{FF2B5EF4-FFF2-40B4-BE49-F238E27FC236}">
                    <a16:creationId xmlns:a16="http://schemas.microsoft.com/office/drawing/2014/main" id="{00000000-0008-0000-0A00-00002F030000}"/>
                  </a:ext>
                </a:extLst>
              </xdr:cNvPr>
              <xdr:cNvSpPr/>
            </xdr:nvSpPr>
            <xdr:spPr>
              <a:xfrm>
                <a:off x="27404782" y="8354785"/>
                <a:ext cx="720020" cy="1512000"/>
              </a:xfrm>
              <a:prstGeom prst="rect">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816" name="CuadroTexto 815">
                <a:extLst>
                  <a:ext uri="{FF2B5EF4-FFF2-40B4-BE49-F238E27FC236}">
                    <a16:creationId xmlns:a16="http://schemas.microsoft.com/office/drawing/2014/main" id="{00000000-0008-0000-0A00-000030030000}"/>
                  </a:ext>
                </a:extLst>
              </xdr:cNvPr>
              <xdr:cNvSpPr txBox="1"/>
            </xdr:nvSpPr>
            <xdr:spPr>
              <a:xfrm rot="16200000">
                <a:off x="27171952" y="8831042"/>
                <a:ext cx="120645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MISIONALES</a:t>
                </a:r>
              </a:p>
            </xdr:txBody>
          </xdr:sp>
        </xdr:grpSp>
        <xdr:grpSp>
          <xdr:nvGrpSpPr>
            <xdr:cNvPr id="761" name="Grupo 760">
              <a:extLst>
                <a:ext uri="{FF2B5EF4-FFF2-40B4-BE49-F238E27FC236}">
                  <a16:creationId xmlns:a16="http://schemas.microsoft.com/office/drawing/2014/main" id="{00000000-0008-0000-0A00-0000F9020000}"/>
                </a:ext>
              </a:extLst>
            </xdr:cNvPr>
            <xdr:cNvGrpSpPr/>
          </xdr:nvGrpSpPr>
          <xdr:grpSpPr>
            <a:xfrm>
              <a:off x="32161504" y="12142045"/>
              <a:ext cx="2159945" cy="786017"/>
              <a:chOff x="20554737" y="13260800"/>
              <a:chExt cx="2157047" cy="771677"/>
            </a:xfrm>
          </xdr:grpSpPr>
          <xdr:grpSp>
            <xdr:nvGrpSpPr>
              <xdr:cNvPr id="807" name="Grupo 806">
                <a:extLst>
                  <a:ext uri="{FF2B5EF4-FFF2-40B4-BE49-F238E27FC236}">
                    <a16:creationId xmlns:a16="http://schemas.microsoft.com/office/drawing/2014/main" id="{00000000-0008-0000-0A00-000027030000}"/>
                  </a:ext>
                </a:extLst>
              </xdr:cNvPr>
              <xdr:cNvGrpSpPr/>
            </xdr:nvGrpSpPr>
            <xdr:grpSpPr>
              <a:xfrm>
                <a:off x="20554737" y="13260800"/>
                <a:ext cx="2157047" cy="732326"/>
                <a:chOff x="28670251" y="2081892"/>
                <a:chExt cx="2000250" cy="585107"/>
              </a:xfrm>
            </xdr:grpSpPr>
            <xdr:sp macro="" textlink="">
              <xdr:nvSpPr>
                <xdr:cNvPr id="812" name="Cheurón 811">
                  <a:extLst>
                    <a:ext uri="{FF2B5EF4-FFF2-40B4-BE49-F238E27FC236}">
                      <a16:creationId xmlns:a16="http://schemas.microsoft.com/office/drawing/2014/main" id="{00000000-0008-0000-0A00-00002C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13" name="CuadroTexto 812">
                  <a:extLst>
                    <a:ext uri="{FF2B5EF4-FFF2-40B4-BE49-F238E27FC236}">
                      <a16:creationId xmlns:a16="http://schemas.microsoft.com/office/drawing/2014/main" id="{00000000-0008-0000-0A00-00002D030000}"/>
                    </a:ext>
                  </a:extLst>
                </xdr:cNvPr>
                <xdr:cNvSpPr txBox="1"/>
              </xdr:nvSpPr>
              <xdr:spPr>
                <a:xfrm>
                  <a:off x="28869718" y="2159695"/>
                  <a:ext cx="1059201" cy="438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p>
                <a:p>
                  <a:pPr algn="ctr"/>
                  <a:r>
                    <a:rPr lang="es-CO" sz="1100" b="1">
                      <a:solidFill>
                        <a:schemeClr val="bg1"/>
                      </a:solidFill>
                      <a:latin typeface="Century Gothic" panose="020B0502020202020204" pitchFamily="34" charset="0"/>
                    </a:rPr>
                    <a:t>QUIRURGICA</a:t>
                  </a:r>
                </a:p>
              </xdr:txBody>
            </xdr:sp>
            <xdr:sp macro="" textlink="$P$14">
              <xdr:nvSpPr>
                <xdr:cNvPr id="814" name="Rectángulo redondeado 813">
                  <a:extLst>
                    <a:ext uri="{FF2B5EF4-FFF2-40B4-BE49-F238E27FC236}">
                      <a16:creationId xmlns:a16="http://schemas.microsoft.com/office/drawing/2014/main" id="{00000000-0008-0000-0A00-00002E030000}"/>
                    </a:ext>
                  </a:extLst>
                </xdr:cNvPr>
                <xdr:cNvSpPr/>
              </xdr:nvSpPr>
              <xdr:spPr>
                <a:xfrm>
                  <a:off x="29786518" y="2165857"/>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A714050-328B-4538-BBC6-A8A7BF61D909}" type="TxLink">
                    <a:rPr lang="en-US" sz="1600" b="1" i="0" u="none" strike="noStrike">
                      <a:solidFill>
                        <a:srgbClr val="FFFF00"/>
                      </a:solidFill>
                      <a:latin typeface="Century Gothic"/>
                    </a:rPr>
                    <a:pPr algn="ctr"/>
                    <a:t>57,9%</a:t>
                  </a:fld>
                  <a:endParaRPr lang="es-CO" sz="3600">
                    <a:solidFill>
                      <a:srgbClr val="FFFF00"/>
                    </a:solidFill>
                  </a:endParaRPr>
                </a:p>
              </xdr:txBody>
            </xdr:sp>
          </xdr:grpSp>
          <xdr:grpSp>
            <xdr:nvGrpSpPr>
              <xdr:cNvPr id="808" name="Grupo 807">
                <a:extLst>
                  <a:ext uri="{FF2B5EF4-FFF2-40B4-BE49-F238E27FC236}">
                    <a16:creationId xmlns:a16="http://schemas.microsoft.com/office/drawing/2014/main" id="{00000000-0008-0000-0A00-000028030000}"/>
                  </a:ext>
                </a:extLst>
              </xdr:cNvPr>
              <xdr:cNvGrpSpPr/>
            </xdr:nvGrpSpPr>
            <xdr:grpSpPr>
              <a:xfrm>
                <a:off x="21720933" y="13741259"/>
                <a:ext cx="825525" cy="291218"/>
                <a:chOff x="21772887" y="13853826"/>
                <a:chExt cx="825525" cy="291218"/>
              </a:xfrm>
            </xdr:grpSpPr>
            <xdr:sp macro="" textlink="">
              <xdr:nvSpPr>
                <xdr:cNvPr id="809" name="CuadroTexto 808">
                  <a:extLst>
                    <a:ext uri="{FF2B5EF4-FFF2-40B4-BE49-F238E27FC236}">
                      <a16:creationId xmlns:a16="http://schemas.microsoft.com/office/drawing/2014/main" id="{00000000-0008-0000-0A00-000029030000}"/>
                    </a:ext>
                  </a:extLst>
                </xdr:cNvPr>
                <xdr:cNvSpPr txBox="1"/>
              </xdr:nvSpPr>
              <xdr:spPr>
                <a:xfrm>
                  <a:off x="21772887" y="13853826"/>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14">
              <xdr:nvSpPr>
                <xdr:cNvPr id="810" name="Rectángulo 809">
                  <a:extLst>
                    <a:ext uri="{FF2B5EF4-FFF2-40B4-BE49-F238E27FC236}">
                      <a16:creationId xmlns:a16="http://schemas.microsoft.com/office/drawing/2014/main" id="{00000000-0008-0000-0A00-00002A030000}"/>
                    </a:ext>
                  </a:extLst>
                </xdr:cNvPr>
                <xdr:cNvSpPr/>
              </xdr:nvSpPr>
              <xdr:spPr>
                <a:xfrm>
                  <a:off x="21834251" y="13869190"/>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E576DE-0EB3-44A6-B83C-4325F419319B}" type="TxLink">
                    <a:rPr lang="en-US" sz="1100" b="1" i="0" u="none" strike="noStrike">
                      <a:solidFill>
                        <a:srgbClr val="FFFF00"/>
                      </a:solidFill>
                      <a:latin typeface="Century Gothic"/>
                    </a:rPr>
                    <a:pPr algn="ctr"/>
                    <a:t>11</a:t>
                  </a:fld>
                  <a:endParaRPr lang="es-CO" sz="1100" b="1">
                    <a:solidFill>
                      <a:srgbClr val="FFFF00"/>
                    </a:solidFill>
                  </a:endParaRPr>
                </a:p>
              </xdr:txBody>
            </xdr:sp>
            <xdr:sp macro="" textlink="$V$14">
              <xdr:nvSpPr>
                <xdr:cNvPr id="811" name="Rectángulo 810">
                  <a:extLst>
                    <a:ext uri="{FF2B5EF4-FFF2-40B4-BE49-F238E27FC236}">
                      <a16:creationId xmlns:a16="http://schemas.microsoft.com/office/drawing/2014/main" id="{00000000-0008-0000-0A00-00002B030000}"/>
                    </a:ext>
                  </a:extLst>
                </xdr:cNvPr>
                <xdr:cNvSpPr/>
              </xdr:nvSpPr>
              <xdr:spPr>
                <a:xfrm>
                  <a:off x="22128906" y="13869190"/>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683EF4-0BAF-4911-B233-70C15CF6CEB6}" type="TxLink">
                    <a:rPr lang="en-US" sz="1100" b="1" i="0" u="none" strike="noStrike">
                      <a:solidFill>
                        <a:srgbClr val="FFFF00"/>
                      </a:solidFill>
                      <a:latin typeface="Century Gothic"/>
                    </a:rPr>
                    <a:pPr algn="ctr"/>
                    <a:t>19</a:t>
                  </a:fld>
                  <a:endParaRPr lang="es-CO" sz="1100" b="1">
                    <a:solidFill>
                      <a:srgbClr val="FFFF00"/>
                    </a:solidFill>
                  </a:endParaRPr>
                </a:p>
              </xdr:txBody>
            </xdr:sp>
          </xdr:grpSp>
        </xdr:grpSp>
        <xdr:grpSp>
          <xdr:nvGrpSpPr>
            <xdr:cNvPr id="762" name="Grupo 761">
              <a:extLst>
                <a:ext uri="{FF2B5EF4-FFF2-40B4-BE49-F238E27FC236}">
                  <a16:creationId xmlns:a16="http://schemas.microsoft.com/office/drawing/2014/main" id="{00000000-0008-0000-0A00-0000FA020000}"/>
                </a:ext>
              </a:extLst>
            </xdr:cNvPr>
            <xdr:cNvGrpSpPr/>
          </xdr:nvGrpSpPr>
          <xdr:grpSpPr>
            <a:xfrm>
              <a:off x="24438287" y="12951276"/>
              <a:ext cx="2159944" cy="745937"/>
              <a:chOff x="12841883" y="14055217"/>
              <a:chExt cx="2157046" cy="732326"/>
            </a:xfrm>
          </xdr:grpSpPr>
          <xdr:grpSp>
            <xdr:nvGrpSpPr>
              <xdr:cNvPr id="799" name="Grupo 798">
                <a:extLst>
                  <a:ext uri="{FF2B5EF4-FFF2-40B4-BE49-F238E27FC236}">
                    <a16:creationId xmlns:a16="http://schemas.microsoft.com/office/drawing/2014/main" id="{00000000-0008-0000-0A00-00001F030000}"/>
                  </a:ext>
                </a:extLst>
              </xdr:cNvPr>
              <xdr:cNvGrpSpPr/>
            </xdr:nvGrpSpPr>
            <xdr:grpSpPr>
              <a:xfrm>
                <a:off x="12841883" y="14055217"/>
                <a:ext cx="2157046" cy="732326"/>
                <a:chOff x="28670251" y="2081892"/>
                <a:chExt cx="2000250" cy="585107"/>
              </a:xfrm>
            </xdr:grpSpPr>
            <xdr:sp macro="" textlink="">
              <xdr:nvSpPr>
                <xdr:cNvPr id="804" name="Cheurón 803">
                  <a:extLst>
                    <a:ext uri="{FF2B5EF4-FFF2-40B4-BE49-F238E27FC236}">
                      <a16:creationId xmlns:a16="http://schemas.microsoft.com/office/drawing/2014/main" id="{00000000-0008-0000-0A00-000024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805" name="CuadroTexto 804">
                  <a:extLst>
                    <a:ext uri="{FF2B5EF4-FFF2-40B4-BE49-F238E27FC236}">
                      <a16:creationId xmlns:a16="http://schemas.microsoft.com/office/drawing/2014/main" id="{00000000-0008-0000-0A00-000025030000}"/>
                    </a:ext>
                  </a:extLst>
                </xdr:cNvPr>
                <xdr:cNvSpPr txBox="1"/>
              </xdr:nvSpPr>
              <xdr:spPr>
                <a:xfrm>
                  <a:off x="28871628" y="2122198"/>
                  <a:ext cx="1069634"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 EN</a:t>
                  </a:r>
                </a:p>
                <a:p>
                  <a:pPr algn="ctr"/>
                  <a:r>
                    <a:rPr lang="es-CO" sz="1100" b="1">
                      <a:solidFill>
                        <a:schemeClr val="bg1"/>
                      </a:solidFill>
                      <a:latin typeface="Century Gothic" panose="020B0502020202020204" pitchFamily="34" charset="0"/>
                    </a:rPr>
                    <a:t>LABORATORIO</a:t>
                  </a:r>
                </a:p>
                <a:p>
                  <a:pPr algn="ctr"/>
                  <a:r>
                    <a:rPr lang="es-CO" sz="1100" b="1">
                      <a:solidFill>
                        <a:schemeClr val="bg1"/>
                      </a:solidFill>
                      <a:latin typeface="Century Gothic" panose="020B0502020202020204" pitchFamily="34" charset="0"/>
                    </a:rPr>
                    <a:t>CLINICO</a:t>
                  </a:r>
                </a:p>
              </xdr:txBody>
            </xdr:sp>
            <xdr:sp macro="" textlink="$P$15">
              <xdr:nvSpPr>
                <xdr:cNvPr id="806" name="Rectángulo redondeado 805">
                  <a:extLst>
                    <a:ext uri="{FF2B5EF4-FFF2-40B4-BE49-F238E27FC236}">
                      <a16:creationId xmlns:a16="http://schemas.microsoft.com/office/drawing/2014/main" id="{00000000-0008-0000-0A00-000026030000}"/>
                    </a:ext>
                  </a:extLst>
                </xdr:cNvPr>
                <xdr:cNvSpPr/>
              </xdr:nvSpPr>
              <xdr:spPr>
                <a:xfrm>
                  <a:off x="29786516" y="2168635"/>
                  <a:ext cx="86677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738CDDF-BED5-4912-A878-CE80AA956A33}"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800" name="Grupo 799">
                <a:extLst>
                  <a:ext uri="{FF2B5EF4-FFF2-40B4-BE49-F238E27FC236}">
                    <a16:creationId xmlns:a16="http://schemas.microsoft.com/office/drawing/2014/main" id="{00000000-0008-0000-0A00-000020030000}"/>
                  </a:ext>
                </a:extLst>
              </xdr:cNvPr>
              <xdr:cNvGrpSpPr/>
            </xdr:nvGrpSpPr>
            <xdr:grpSpPr>
              <a:xfrm>
                <a:off x="14016091" y="14496428"/>
                <a:ext cx="828000" cy="287783"/>
                <a:chOff x="14016091" y="14787505"/>
                <a:chExt cx="828000" cy="287783"/>
              </a:xfrm>
            </xdr:grpSpPr>
            <xdr:sp macro="" textlink="$O$15">
              <xdr:nvSpPr>
                <xdr:cNvPr id="801" name="Rectángulo 800">
                  <a:extLst>
                    <a:ext uri="{FF2B5EF4-FFF2-40B4-BE49-F238E27FC236}">
                      <a16:creationId xmlns:a16="http://schemas.microsoft.com/office/drawing/2014/main" id="{00000000-0008-0000-0A00-000021030000}"/>
                    </a:ext>
                  </a:extLst>
                </xdr:cNvPr>
                <xdr:cNvSpPr/>
              </xdr:nvSpPr>
              <xdr:spPr>
                <a:xfrm>
                  <a:off x="14055428" y="1479943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504BC7E-0969-4D73-9017-F9E16D5A6969}"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15">
              <xdr:nvSpPr>
                <xdr:cNvPr id="802" name="Rectángulo 801">
                  <a:extLst>
                    <a:ext uri="{FF2B5EF4-FFF2-40B4-BE49-F238E27FC236}">
                      <a16:creationId xmlns:a16="http://schemas.microsoft.com/office/drawing/2014/main" id="{00000000-0008-0000-0A00-000022030000}"/>
                    </a:ext>
                  </a:extLst>
                </xdr:cNvPr>
                <xdr:cNvSpPr/>
              </xdr:nvSpPr>
              <xdr:spPr>
                <a:xfrm>
                  <a:off x="14350083" y="1479943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F9C6179-CE0F-42DC-83B8-CE17E98E6F12}" type="TxLink">
                    <a:rPr lang="en-US" sz="1100" b="1" i="0" u="none" strike="noStrike">
                      <a:solidFill>
                        <a:srgbClr val="FFFF00"/>
                      </a:solidFill>
                      <a:latin typeface="Century Gothic"/>
                    </a:rPr>
                    <a:pPr algn="ctr"/>
                    <a:t>13</a:t>
                  </a:fld>
                  <a:endParaRPr lang="es-CO" sz="1100" b="1">
                    <a:solidFill>
                      <a:srgbClr val="FFFF00"/>
                    </a:solidFill>
                  </a:endParaRPr>
                </a:p>
              </xdr:txBody>
            </xdr:sp>
            <xdr:sp macro="" textlink="">
              <xdr:nvSpPr>
                <xdr:cNvPr id="803" name="CuadroTexto 802">
                  <a:extLst>
                    <a:ext uri="{FF2B5EF4-FFF2-40B4-BE49-F238E27FC236}">
                      <a16:creationId xmlns:a16="http://schemas.microsoft.com/office/drawing/2014/main" id="{00000000-0008-0000-0A00-000023030000}"/>
                    </a:ext>
                  </a:extLst>
                </xdr:cNvPr>
                <xdr:cNvSpPr txBox="1"/>
              </xdr:nvSpPr>
              <xdr:spPr>
                <a:xfrm>
                  <a:off x="14016091" y="14787505"/>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763" name="Grupo 762">
              <a:extLst>
                <a:ext uri="{FF2B5EF4-FFF2-40B4-BE49-F238E27FC236}">
                  <a16:creationId xmlns:a16="http://schemas.microsoft.com/office/drawing/2014/main" id="{00000000-0008-0000-0A00-0000FB020000}"/>
                </a:ext>
              </a:extLst>
            </xdr:cNvPr>
            <xdr:cNvGrpSpPr/>
          </xdr:nvGrpSpPr>
          <xdr:grpSpPr>
            <a:xfrm>
              <a:off x="26400418" y="12954091"/>
              <a:ext cx="2182182" cy="745937"/>
              <a:chOff x="14801381" y="14057986"/>
              <a:chExt cx="2179254" cy="732326"/>
            </a:xfrm>
          </xdr:grpSpPr>
          <xdr:grpSp>
            <xdr:nvGrpSpPr>
              <xdr:cNvPr id="791" name="Grupo 790">
                <a:extLst>
                  <a:ext uri="{FF2B5EF4-FFF2-40B4-BE49-F238E27FC236}">
                    <a16:creationId xmlns:a16="http://schemas.microsoft.com/office/drawing/2014/main" id="{00000000-0008-0000-0A00-000017030000}"/>
                  </a:ext>
                </a:extLst>
              </xdr:cNvPr>
              <xdr:cNvGrpSpPr/>
            </xdr:nvGrpSpPr>
            <xdr:grpSpPr>
              <a:xfrm>
                <a:off x="14801381" y="14057986"/>
                <a:ext cx="2179254" cy="732326"/>
                <a:chOff x="28670251" y="2081892"/>
                <a:chExt cx="2020842" cy="585107"/>
              </a:xfrm>
            </xdr:grpSpPr>
            <xdr:sp macro="" textlink="">
              <xdr:nvSpPr>
                <xdr:cNvPr id="796" name="Cheurón 795">
                  <a:extLst>
                    <a:ext uri="{FF2B5EF4-FFF2-40B4-BE49-F238E27FC236}">
                      <a16:creationId xmlns:a16="http://schemas.microsoft.com/office/drawing/2014/main" id="{00000000-0008-0000-0A00-00001C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97" name="CuadroTexto 796">
                  <a:extLst>
                    <a:ext uri="{FF2B5EF4-FFF2-40B4-BE49-F238E27FC236}">
                      <a16:creationId xmlns:a16="http://schemas.microsoft.com/office/drawing/2014/main" id="{00000000-0008-0000-0A00-00001D030000}"/>
                    </a:ext>
                  </a:extLst>
                </xdr:cNvPr>
                <xdr:cNvSpPr txBox="1"/>
              </xdr:nvSpPr>
              <xdr:spPr>
                <a:xfrm>
                  <a:off x="28789521" y="2122198"/>
                  <a:ext cx="113750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ATENCION</a:t>
                  </a:r>
                  <a:r>
                    <a:rPr lang="es-CO" sz="1100" b="1" baseline="0">
                      <a:solidFill>
                        <a:schemeClr val="bg1"/>
                      </a:solidFill>
                      <a:latin typeface="Century Gothic" panose="020B0502020202020204" pitchFamily="34" charset="0"/>
                    </a:rPr>
                    <a:t> </a:t>
                  </a:r>
                  <a:r>
                    <a:rPr lang="es-CO" sz="1100" b="1">
                      <a:solidFill>
                        <a:schemeClr val="bg1"/>
                      </a:solidFill>
                      <a:latin typeface="Century Gothic" panose="020B0502020202020204" pitchFamily="34" charset="0"/>
                    </a:rPr>
                    <a:t>EN</a:t>
                  </a:r>
                </a:p>
                <a:p>
                  <a:pPr algn="ctr"/>
                  <a:r>
                    <a:rPr lang="es-CO" sz="1100" b="1">
                      <a:solidFill>
                        <a:schemeClr val="bg1"/>
                      </a:solidFill>
                      <a:latin typeface="Century Gothic" panose="020B0502020202020204" pitchFamily="34" charset="0"/>
                    </a:rPr>
                    <a:t>IMAGENES</a:t>
                  </a:r>
                </a:p>
                <a:p>
                  <a:pPr algn="ctr"/>
                  <a:r>
                    <a:rPr lang="es-CO" sz="1100" b="1">
                      <a:solidFill>
                        <a:schemeClr val="bg1"/>
                      </a:solidFill>
                      <a:latin typeface="Century Gothic" panose="020B0502020202020204" pitchFamily="34" charset="0"/>
                    </a:rPr>
                    <a:t>DIAGNOSTICAS</a:t>
                  </a:r>
                </a:p>
              </xdr:txBody>
            </xdr:sp>
            <xdr:sp macro="" textlink="$P$16">
              <xdr:nvSpPr>
                <xdr:cNvPr id="798" name="Rectángulo redondeado 797">
                  <a:extLst>
                    <a:ext uri="{FF2B5EF4-FFF2-40B4-BE49-F238E27FC236}">
                      <a16:creationId xmlns:a16="http://schemas.microsoft.com/office/drawing/2014/main" id="{00000000-0008-0000-0A00-00001E030000}"/>
                    </a:ext>
                  </a:extLst>
                </xdr:cNvPr>
                <xdr:cNvSpPr/>
              </xdr:nvSpPr>
              <xdr:spPr>
                <a:xfrm>
                  <a:off x="29824320" y="2168635"/>
                  <a:ext cx="866773"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4D5F1E-0492-4767-8DD0-37305CC67C30}" type="TxLink">
                    <a:rPr lang="en-US" sz="1600" b="1" i="0" u="none" strike="noStrike">
                      <a:solidFill>
                        <a:srgbClr val="FFFF00"/>
                      </a:solidFill>
                      <a:latin typeface="Century Gothic"/>
                    </a:rPr>
                    <a:pPr algn="ctr"/>
                    <a:t>37,5%</a:t>
                  </a:fld>
                  <a:endParaRPr lang="es-CO" sz="3600">
                    <a:solidFill>
                      <a:srgbClr val="FFFF00"/>
                    </a:solidFill>
                  </a:endParaRPr>
                </a:p>
              </xdr:txBody>
            </xdr:sp>
          </xdr:grpSp>
          <xdr:grpSp>
            <xdr:nvGrpSpPr>
              <xdr:cNvPr id="792" name="Grupo 791">
                <a:extLst>
                  <a:ext uri="{FF2B5EF4-FFF2-40B4-BE49-F238E27FC236}">
                    <a16:creationId xmlns:a16="http://schemas.microsoft.com/office/drawing/2014/main" id="{00000000-0008-0000-0A00-000018030000}"/>
                  </a:ext>
                </a:extLst>
              </xdr:cNvPr>
              <xdr:cNvGrpSpPr/>
            </xdr:nvGrpSpPr>
            <xdr:grpSpPr>
              <a:xfrm>
                <a:off x="16010400" y="14496430"/>
                <a:ext cx="828000" cy="287781"/>
                <a:chOff x="16010400" y="14638304"/>
                <a:chExt cx="828000" cy="287781"/>
              </a:xfrm>
            </xdr:grpSpPr>
            <xdr:sp macro="" textlink="$O$16">
              <xdr:nvSpPr>
                <xdr:cNvPr id="793" name="Rectángulo 792">
                  <a:extLst>
                    <a:ext uri="{FF2B5EF4-FFF2-40B4-BE49-F238E27FC236}">
                      <a16:creationId xmlns:a16="http://schemas.microsoft.com/office/drawing/2014/main" id="{00000000-0008-0000-0A00-000019030000}"/>
                    </a:ext>
                  </a:extLst>
                </xdr:cNvPr>
                <xdr:cNvSpPr/>
              </xdr:nvSpPr>
              <xdr:spPr>
                <a:xfrm>
                  <a:off x="16067055" y="1465023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595C89-9D5D-452A-A7C7-68C20A797CBB}" type="TxLink">
                    <a:rPr lang="en-US" sz="1100" b="1" i="0" u="none" strike="noStrike">
                      <a:solidFill>
                        <a:srgbClr val="FFFF00"/>
                      </a:solidFill>
                      <a:latin typeface="Century Gothic"/>
                    </a:rPr>
                    <a:pPr algn="ctr"/>
                    <a:t>6</a:t>
                  </a:fld>
                  <a:endParaRPr lang="es-CO" sz="1100" b="1">
                    <a:solidFill>
                      <a:srgbClr val="FFFF00"/>
                    </a:solidFill>
                  </a:endParaRPr>
                </a:p>
              </xdr:txBody>
            </xdr:sp>
            <xdr:sp macro="" textlink="$V$16">
              <xdr:nvSpPr>
                <xdr:cNvPr id="794" name="Rectángulo 793">
                  <a:extLst>
                    <a:ext uri="{FF2B5EF4-FFF2-40B4-BE49-F238E27FC236}">
                      <a16:creationId xmlns:a16="http://schemas.microsoft.com/office/drawing/2014/main" id="{00000000-0008-0000-0A00-00001A030000}"/>
                    </a:ext>
                  </a:extLst>
                </xdr:cNvPr>
                <xdr:cNvSpPr/>
              </xdr:nvSpPr>
              <xdr:spPr>
                <a:xfrm>
                  <a:off x="16353051" y="1465023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9A9D97B-0E68-4A52-81E0-2CDAE7BBEE1C}" type="TxLink">
                    <a:rPr lang="en-US" sz="1100" b="1" i="0" u="none" strike="noStrike">
                      <a:solidFill>
                        <a:srgbClr val="FFFF00"/>
                      </a:solidFill>
                      <a:latin typeface="Century Gothic"/>
                    </a:rPr>
                    <a:pPr algn="ctr"/>
                    <a:t>16</a:t>
                  </a:fld>
                  <a:endParaRPr lang="es-CO" sz="1100" b="1">
                    <a:solidFill>
                      <a:srgbClr val="FFFF00"/>
                    </a:solidFill>
                  </a:endParaRPr>
                </a:p>
              </xdr:txBody>
            </xdr:sp>
            <xdr:sp macro="" textlink="">
              <xdr:nvSpPr>
                <xdr:cNvPr id="795" name="CuadroTexto 794">
                  <a:extLst>
                    <a:ext uri="{FF2B5EF4-FFF2-40B4-BE49-F238E27FC236}">
                      <a16:creationId xmlns:a16="http://schemas.microsoft.com/office/drawing/2014/main" id="{00000000-0008-0000-0A00-00001B030000}"/>
                    </a:ext>
                  </a:extLst>
                </xdr:cNvPr>
                <xdr:cNvSpPr txBox="1"/>
              </xdr:nvSpPr>
              <xdr:spPr>
                <a:xfrm>
                  <a:off x="16010400" y="14638304"/>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764" name="Grupo 763">
              <a:extLst>
                <a:ext uri="{FF2B5EF4-FFF2-40B4-BE49-F238E27FC236}">
                  <a16:creationId xmlns:a16="http://schemas.microsoft.com/office/drawing/2014/main" id="{00000000-0008-0000-0A00-0000FC020000}"/>
                </a:ext>
              </a:extLst>
            </xdr:cNvPr>
            <xdr:cNvGrpSpPr/>
          </xdr:nvGrpSpPr>
          <xdr:grpSpPr>
            <a:xfrm>
              <a:off x="28348857" y="12942813"/>
              <a:ext cx="2195786" cy="750998"/>
              <a:chOff x="16747206" y="14046916"/>
              <a:chExt cx="2192840" cy="737295"/>
            </a:xfrm>
          </xdr:grpSpPr>
          <xdr:grpSp>
            <xdr:nvGrpSpPr>
              <xdr:cNvPr id="783" name="Grupo 782">
                <a:extLst>
                  <a:ext uri="{FF2B5EF4-FFF2-40B4-BE49-F238E27FC236}">
                    <a16:creationId xmlns:a16="http://schemas.microsoft.com/office/drawing/2014/main" id="{00000000-0008-0000-0A00-00000F030000}"/>
                  </a:ext>
                </a:extLst>
              </xdr:cNvPr>
              <xdr:cNvGrpSpPr/>
            </xdr:nvGrpSpPr>
            <xdr:grpSpPr>
              <a:xfrm>
                <a:off x="16747206" y="14046916"/>
                <a:ext cx="2192840" cy="732326"/>
                <a:chOff x="28670251" y="2081892"/>
                <a:chExt cx="2033443" cy="585107"/>
              </a:xfrm>
            </xdr:grpSpPr>
            <xdr:sp macro="" textlink="">
              <xdr:nvSpPr>
                <xdr:cNvPr id="788" name="Cheurón 787">
                  <a:extLst>
                    <a:ext uri="{FF2B5EF4-FFF2-40B4-BE49-F238E27FC236}">
                      <a16:creationId xmlns:a16="http://schemas.microsoft.com/office/drawing/2014/main" id="{00000000-0008-0000-0A00-000014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89" name="CuadroTexto 788">
                  <a:extLst>
                    <a:ext uri="{FF2B5EF4-FFF2-40B4-BE49-F238E27FC236}">
                      <a16:creationId xmlns:a16="http://schemas.microsoft.com/office/drawing/2014/main" id="{00000000-0008-0000-0A00-000015030000}"/>
                    </a:ext>
                  </a:extLst>
                </xdr:cNvPr>
                <xdr:cNvSpPr txBox="1"/>
              </xdr:nvSpPr>
              <xdr:spPr>
                <a:xfrm>
                  <a:off x="28782494" y="2119420"/>
                  <a:ext cx="1176751"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SERVICIO</a:t>
                  </a:r>
                </a:p>
                <a:p>
                  <a:pPr algn="ctr"/>
                  <a:r>
                    <a:rPr lang="es-CO" sz="1100" b="1">
                      <a:solidFill>
                        <a:schemeClr val="bg1"/>
                      </a:solidFill>
                      <a:latin typeface="Century Gothic" panose="020B0502020202020204" pitchFamily="34" charset="0"/>
                    </a:rPr>
                    <a:t>FARMACEUTICO</a:t>
                  </a:r>
                </a:p>
              </xdr:txBody>
            </xdr:sp>
            <xdr:sp macro="" textlink="$P$17">
              <xdr:nvSpPr>
                <xdr:cNvPr id="790" name="Rectángulo redondeado 789">
                  <a:extLst>
                    <a:ext uri="{FF2B5EF4-FFF2-40B4-BE49-F238E27FC236}">
                      <a16:creationId xmlns:a16="http://schemas.microsoft.com/office/drawing/2014/main" id="{00000000-0008-0000-0A00-000016030000}"/>
                    </a:ext>
                  </a:extLst>
                </xdr:cNvPr>
                <xdr:cNvSpPr/>
              </xdr:nvSpPr>
              <xdr:spPr>
                <a:xfrm>
                  <a:off x="29836919" y="2179693"/>
                  <a:ext cx="866775"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7E4ADDB-5C90-4A9A-91CE-63D3093A1EE0}" type="TxLink">
                    <a:rPr lang="en-US" sz="1600" b="1" i="0" u="none" strike="noStrike">
                      <a:solidFill>
                        <a:srgbClr val="FFFF00"/>
                      </a:solidFill>
                      <a:latin typeface="Century Gothic"/>
                    </a:rPr>
                    <a:pPr algn="ctr"/>
                    <a:t>0,0%</a:t>
                  </a:fld>
                  <a:endParaRPr lang="es-CO" sz="3600">
                    <a:solidFill>
                      <a:srgbClr val="FFFF00"/>
                    </a:solidFill>
                  </a:endParaRPr>
                </a:p>
              </xdr:txBody>
            </xdr:sp>
          </xdr:grpSp>
          <xdr:grpSp>
            <xdr:nvGrpSpPr>
              <xdr:cNvPr id="784" name="Grupo 783">
                <a:extLst>
                  <a:ext uri="{FF2B5EF4-FFF2-40B4-BE49-F238E27FC236}">
                    <a16:creationId xmlns:a16="http://schemas.microsoft.com/office/drawing/2014/main" id="{00000000-0008-0000-0A00-000010030000}"/>
                  </a:ext>
                </a:extLst>
              </xdr:cNvPr>
              <xdr:cNvGrpSpPr/>
            </xdr:nvGrpSpPr>
            <xdr:grpSpPr>
              <a:xfrm>
                <a:off x="17963890" y="14496430"/>
                <a:ext cx="828000" cy="287781"/>
                <a:chOff x="17963890" y="14639666"/>
                <a:chExt cx="828000" cy="287781"/>
              </a:xfrm>
            </xdr:grpSpPr>
            <xdr:sp macro="" textlink="$O$17">
              <xdr:nvSpPr>
                <xdr:cNvPr id="785" name="Rectángulo 784">
                  <a:extLst>
                    <a:ext uri="{FF2B5EF4-FFF2-40B4-BE49-F238E27FC236}">
                      <a16:creationId xmlns:a16="http://schemas.microsoft.com/office/drawing/2014/main" id="{00000000-0008-0000-0A00-000011030000}"/>
                    </a:ext>
                  </a:extLst>
                </xdr:cNvPr>
                <xdr:cNvSpPr/>
              </xdr:nvSpPr>
              <xdr:spPr>
                <a:xfrm>
                  <a:off x="18029204" y="1465159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598BA12-F9DC-45BB-BF35-C7713EBC7141}"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17">
              <xdr:nvSpPr>
                <xdr:cNvPr id="786" name="Rectángulo 785">
                  <a:extLst>
                    <a:ext uri="{FF2B5EF4-FFF2-40B4-BE49-F238E27FC236}">
                      <a16:creationId xmlns:a16="http://schemas.microsoft.com/office/drawing/2014/main" id="{00000000-0008-0000-0A00-000012030000}"/>
                    </a:ext>
                  </a:extLst>
                </xdr:cNvPr>
                <xdr:cNvSpPr/>
              </xdr:nvSpPr>
              <xdr:spPr>
                <a:xfrm>
                  <a:off x="18315200" y="1465159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1793873-D9AB-4904-AE56-73302B09A877}" type="TxLink">
                    <a:rPr lang="en-US" sz="1100" b="1" i="0" u="none" strike="noStrike">
                      <a:solidFill>
                        <a:srgbClr val="FFFF00"/>
                      </a:solidFill>
                      <a:latin typeface="Century Gothic"/>
                    </a:rPr>
                    <a:pPr algn="ctr"/>
                    <a:t>20</a:t>
                  </a:fld>
                  <a:endParaRPr lang="es-CO" sz="1100" b="1">
                    <a:solidFill>
                      <a:srgbClr val="FFFF00"/>
                    </a:solidFill>
                  </a:endParaRPr>
                </a:p>
              </xdr:txBody>
            </xdr:sp>
            <xdr:sp macro="" textlink="">
              <xdr:nvSpPr>
                <xdr:cNvPr id="787" name="CuadroTexto 786">
                  <a:extLst>
                    <a:ext uri="{FF2B5EF4-FFF2-40B4-BE49-F238E27FC236}">
                      <a16:creationId xmlns:a16="http://schemas.microsoft.com/office/drawing/2014/main" id="{00000000-0008-0000-0A00-000013030000}"/>
                    </a:ext>
                  </a:extLst>
                </xdr:cNvPr>
                <xdr:cNvSpPr txBox="1"/>
              </xdr:nvSpPr>
              <xdr:spPr>
                <a:xfrm>
                  <a:off x="17963890" y="14639666"/>
                  <a:ext cx="828000"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grpSp>
        </xdr:grpSp>
        <xdr:grpSp>
          <xdr:nvGrpSpPr>
            <xdr:cNvPr id="765" name="Grupo 764">
              <a:extLst>
                <a:ext uri="{FF2B5EF4-FFF2-40B4-BE49-F238E27FC236}">
                  <a16:creationId xmlns:a16="http://schemas.microsoft.com/office/drawing/2014/main" id="{00000000-0008-0000-0A00-0000FD020000}"/>
                </a:ext>
              </a:extLst>
            </xdr:cNvPr>
            <xdr:cNvGrpSpPr/>
          </xdr:nvGrpSpPr>
          <xdr:grpSpPr>
            <a:xfrm>
              <a:off x="30297334" y="12945629"/>
              <a:ext cx="2129427" cy="748176"/>
              <a:chOff x="18693068" y="14049686"/>
              <a:chExt cx="2126570" cy="734525"/>
            </a:xfrm>
          </xdr:grpSpPr>
          <xdr:grpSp>
            <xdr:nvGrpSpPr>
              <xdr:cNvPr id="775" name="Grupo 774">
                <a:extLst>
                  <a:ext uri="{FF2B5EF4-FFF2-40B4-BE49-F238E27FC236}">
                    <a16:creationId xmlns:a16="http://schemas.microsoft.com/office/drawing/2014/main" id="{00000000-0008-0000-0A00-000007030000}"/>
                  </a:ext>
                </a:extLst>
              </xdr:cNvPr>
              <xdr:cNvGrpSpPr/>
            </xdr:nvGrpSpPr>
            <xdr:grpSpPr>
              <a:xfrm>
                <a:off x="18693068" y="14049686"/>
                <a:ext cx="2126570" cy="732326"/>
                <a:chOff x="28670251" y="2081892"/>
                <a:chExt cx="2012232" cy="585107"/>
              </a:xfrm>
            </xdr:grpSpPr>
            <xdr:sp macro="" textlink="">
              <xdr:nvSpPr>
                <xdr:cNvPr id="780" name="Cheurón 779">
                  <a:extLst>
                    <a:ext uri="{FF2B5EF4-FFF2-40B4-BE49-F238E27FC236}">
                      <a16:creationId xmlns:a16="http://schemas.microsoft.com/office/drawing/2014/main" id="{00000000-0008-0000-0A00-00000C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81" name="CuadroTexto 780">
                  <a:extLst>
                    <a:ext uri="{FF2B5EF4-FFF2-40B4-BE49-F238E27FC236}">
                      <a16:creationId xmlns:a16="http://schemas.microsoft.com/office/drawing/2014/main" id="{00000000-0008-0000-0A00-00000D030000}"/>
                    </a:ext>
                  </a:extLst>
                </xdr:cNvPr>
                <xdr:cNvSpPr txBox="1"/>
              </xdr:nvSpPr>
              <xdr:spPr>
                <a:xfrm>
                  <a:off x="28911076" y="2122198"/>
                  <a:ext cx="891515"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a:t>
                  </a:r>
                </a:p>
                <a:p>
                  <a:pPr algn="ctr"/>
                  <a:r>
                    <a:rPr lang="es-CO" sz="1100" b="1">
                      <a:solidFill>
                        <a:schemeClr val="bg1"/>
                      </a:solidFill>
                      <a:latin typeface="Century Gothic" panose="020B0502020202020204" pitchFamily="34" charset="0"/>
                    </a:rPr>
                    <a:t>DOCENCIA</a:t>
                  </a:r>
                </a:p>
                <a:p>
                  <a:pPr algn="ctr"/>
                  <a:r>
                    <a:rPr lang="es-CO" sz="1100" b="1">
                      <a:solidFill>
                        <a:schemeClr val="bg1"/>
                      </a:solidFill>
                      <a:latin typeface="Century Gothic" panose="020B0502020202020204" pitchFamily="34" charset="0"/>
                    </a:rPr>
                    <a:t>SERVICIO</a:t>
                  </a:r>
                </a:p>
              </xdr:txBody>
            </xdr:sp>
            <xdr:sp macro="" textlink="$P$18">
              <xdr:nvSpPr>
                <xdr:cNvPr id="782" name="Rectángulo redondeado 781">
                  <a:extLst>
                    <a:ext uri="{FF2B5EF4-FFF2-40B4-BE49-F238E27FC236}">
                      <a16:creationId xmlns:a16="http://schemas.microsoft.com/office/drawing/2014/main" id="{00000000-0008-0000-0A00-00000E030000}"/>
                    </a:ext>
                  </a:extLst>
                </xdr:cNvPr>
                <xdr:cNvSpPr/>
              </xdr:nvSpPr>
              <xdr:spPr>
                <a:xfrm>
                  <a:off x="29798021" y="2157577"/>
                  <a:ext cx="884462"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F8C1CF-B76A-44BC-8344-DDAFD108D86A}" type="TxLink">
                    <a:rPr lang="en-US" sz="1600" b="1" i="0" u="none" strike="noStrike">
                      <a:solidFill>
                        <a:srgbClr val="FFFF00"/>
                      </a:solidFill>
                      <a:latin typeface="Century Gothic"/>
                    </a:rPr>
                    <a:pPr algn="ctr"/>
                    <a:t>80,0%</a:t>
                  </a:fld>
                  <a:endParaRPr lang="es-CO" sz="3600">
                    <a:solidFill>
                      <a:srgbClr val="FFFF00"/>
                    </a:solidFill>
                  </a:endParaRPr>
                </a:p>
              </xdr:txBody>
            </xdr:sp>
          </xdr:grpSp>
          <xdr:grpSp>
            <xdr:nvGrpSpPr>
              <xdr:cNvPr id="776" name="Grupo 775">
                <a:extLst>
                  <a:ext uri="{FF2B5EF4-FFF2-40B4-BE49-F238E27FC236}">
                    <a16:creationId xmlns:a16="http://schemas.microsoft.com/office/drawing/2014/main" id="{00000000-0008-0000-0A00-000008030000}"/>
                  </a:ext>
                </a:extLst>
              </xdr:cNvPr>
              <xdr:cNvGrpSpPr/>
            </xdr:nvGrpSpPr>
            <xdr:grpSpPr>
              <a:xfrm>
                <a:off x="19859234" y="14508357"/>
                <a:ext cx="825525" cy="275854"/>
                <a:chOff x="19893870" y="14659758"/>
                <a:chExt cx="825525" cy="275854"/>
              </a:xfrm>
            </xdr:grpSpPr>
            <xdr:sp macro="" textlink="">
              <xdr:nvSpPr>
                <xdr:cNvPr id="777" name="CuadroTexto 776">
                  <a:extLst>
                    <a:ext uri="{FF2B5EF4-FFF2-40B4-BE49-F238E27FC236}">
                      <a16:creationId xmlns:a16="http://schemas.microsoft.com/office/drawing/2014/main" id="{00000000-0008-0000-0A00-000009030000}"/>
                    </a:ext>
                  </a:extLst>
                </xdr:cNvPr>
                <xdr:cNvSpPr txBox="1"/>
              </xdr:nvSpPr>
              <xdr:spPr>
                <a:xfrm>
                  <a:off x="19893870" y="14661684"/>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18">
              <xdr:nvSpPr>
                <xdr:cNvPr id="778" name="Rectángulo 777">
                  <a:extLst>
                    <a:ext uri="{FF2B5EF4-FFF2-40B4-BE49-F238E27FC236}">
                      <a16:creationId xmlns:a16="http://schemas.microsoft.com/office/drawing/2014/main" id="{00000000-0008-0000-0A00-00000A030000}"/>
                    </a:ext>
                  </a:extLst>
                </xdr:cNvPr>
                <xdr:cNvSpPr/>
              </xdr:nvSpPr>
              <xdr:spPr>
                <a:xfrm>
                  <a:off x="19955234" y="14659758"/>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0A920E8-A348-4C0D-8A28-05C7BDEFEEA3}"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V$18">
              <xdr:nvSpPr>
                <xdr:cNvPr id="779" name="Rectángulo 778">
                  <a:extLst>
                    <a:ext uri="{FF2B5EF4-FFF2-40B4-BE49-F238E27FC236}">
                      <a16:creationId xmlns:a16="http://schemas.microsoft.com/office/drawing/2014/main" id="{00000000-0008-0000-0A00-00000B030000}"/>
                    </a:ext>
                  </a:extLst>
                </xdr:cNvPr>
                <xdr:cNvSpPr/>
              </xdr:nvSpPr>
              <xdr:spPr>
                <a:xfrm>
                  <a:off x="20241230" y="14659758"/>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FFDA40C-DF6F-404C-AB4A-28986C74CEC0}" type="TxLink">
                    <a:rPr lang="en-US" sz="1100" b="1" i="0" u="none" strike="noStrike">
                      <a:solidFill>
                        <a:srgbClr val="FFFF00"/>
                      </a:solidFill>
                      <a:latin typeface="Century Gothic"/>
                    </a:rPr>
                    <a:pPr algn="ctr"/>
                    <a:t>5</a:t>
                  </a:fld>
                  <a:endParaRPr lang="es-CO" sz="1100" b="1">
                    <a:solidFill>
                      <a:srgbClr val="FFFF00"/>
                    </a:solidFill>
                  </a:endParaRPr>
                </a:p>
              </xdr:txBody>
            </xdr:sp>
          </xdr:grpSp>
        </xdr:grpSp>
        <xdr:grpSp>
          <xdr:nvGrpSpPr>
            <xdr:cNvPr id="766" name="Grupo 765">
              <a:extLst>
                <a:ext uri="{FF2B5EF4-FFF2-40B4-BE49-F238E27FC236}">
                  <a16:creationId xmlns:a16="http://schemas.microsoft.com/office/drawing/2014/main" id="{00000000-0008-0000-0A00-0000FE020000}"/>
                </a:ext>
              </a:extLst>
            </xdr:cNvPr>
            <xdr:cNvGrpSpPr/>
          </xdr:nvGrpSpPr>
          <xdr:grpSpPr>
            <a:xfrm>
              <a:off x="32205006" y="12948468"/>
              <a:ext cx="2116747" cy="745937"/>
              <a:chOff x="20598180" y="14052454"/>
              <a:chExt cx="2113907" cy="732326"/>
            </a:xfrm>
          </xdr:grpSpPr>
          <xdr:grpSp>
            <xdr:nvGrpSpPr>
              <xdr:cNvPr id="767" name="Grupo 766">
                <a:extLst>
                  <a:ext uri="{FF2B5EF4-FFF2-40B4-BE49-F238E27FC236}">
                    <a16:creationId xmlns:a16="http://schemas.microsoft.com/office/drawing/2014/main" id="{00000000-0008-0000-0A00-0000FF020000}"/>
                  </a:ext>
                </a:extLst>
              </xdr:cNvPr>
              <xdr:cNvGrpSpPr/>
            </xdr:nvGrpSpPr>
            <xdr:grpSpPr>
              <a:xfrm>
                <a:off x="20598180" y="14052454"/>
                <a:ext cx="2113907" cy="732326"/>
                <a:chOff x="28670251" y="2081892"/>
                <a:chExt cx="2000250" cy="585107"/>
              </a:xfrm>
            </xdr:grpSpPr>
            <xdr:sp macro="" textlink="">
              <xdr:nvSpPr>
                <xdr:cNvPr id="772" name="Cheurón 771">
                  <a:extLst>
                    <a:ext uri="{FF2B5EF4-FFF2-40B4-BE49-F238E27FC236}">
                      <a16:creationId xmlns:a16="http://schemas.microsoft.com/office/drawing/2014/main" id="{00000000-0008-0000-0A00-000004030000}"/>
                    </a:ext>
                  </a:extLst>
                </xdr:cNvPr>
                <xdr:cNvSpPr/>
              </xdr:nvSpPr>
              <xdr:spPr>
                <a:xfrm>
                  <a:off x="28670251" y="2081892"/>
                  <a:ext cx="2000250" cy="585107"/>
                </a:xfrm>
                <a:prstGeom prst="chevron">
                  <a:avLst>
                    <a:gd name="adj" fmla="val 33720"/>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73" name="CuadroTexto 772">
                  <a:extLst>
                    <a:ext uri="{FF2B5EF4-FFF2-40B4-BE49-F238E27FC236}">
                      <a16:creationId xmlns:a16="http://schemas.microsoft.com/office/drawing/2014/main" id="{00000000-0008-0000-0A00-000005030000}"/>
                    </a:ext>
                  </a:extLst>
                </xdr:cNvPr>
                <xdr:cNvSpPr txBox="1"/>
              </xdr:nvSpPr>
              <xdr:spPr>
                <a:xfrm>
                  <a:off x="28842462" y="2115280"/>
                  <a:ext cx="1152777" cy="496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s-CO" sz="1100" b="1">
                      <a:solidFill>
                        <a:schemeClr val="bg1"/>
                      </a:solidFill>
                      <a:latin typeface="Century Gothic" panose="020B0502020202020204" pitchFamily="34" charset="0"/>
                    </a:rPr>
                    <a:t>GESTION DE LA</a:t>
                  </a:r>
                </a:p>
                <a:p>
                  <a:pPr algn="ctr"/>
                  <a:r>
                    <a:rPr lang="es-CO" sz="1100" b="1">
                      <a:solidFill>
                        <a:schemeClr val="bg1"/>
                      </a:solidFill>
                      <a:latin typeface="Century Gothic" panose="020B0502020202020204" pitchFamily="34" charset="0"/>
                    </a:rPr>
                    <a:t>SALUD PUBLICA</a:t>
                  </a:r>
                </a:p>
                <a:p>
                  <a:pPr algn="ctr"/>
                  <a:r>
                    <a:rPr lang="es-CO" sz="1100" b="1">
                      <a:solidFill>
                        <a:schemeClr val="bg1"/>
                      </a:solidFill>
                      <a:latin typeface="Century Gothic" panose="020B0502020202020204" pitchFamily="34" charset="0"/>
                    </a:rPr>
                    <a:t>Y TERRITORIAL</a:t>
                  </a:r>
                </a:p>
              </xdr:txBody>
            </xdr:sp>
            <xdr:sp macro="" textlink="$P$19">
              <xdr:nvSpPr>
                <xdr:cNvPr id="774" name="Rectángulo redondeado 773">
                  <a:extLst>
                    <a:ext uri="{FF2B5EF4-FFF2-40B4-BE49-F238E27FC236}">
                      <a16:creationId xmlns:a16="http://schemas.microsoft.com/office/drawing/2014/main" id="{00000000-0008-0000-0A00-000006030000}"/>
                    </a:ext>
                  </a:extLst>
                </xdr:cNvPr>
                <xdr:cNvSpPr/>
              </xdr:nvSpPr>
              <xdr:spPr>
                <a:xfrm>
                  <a:off x="29808023" y="2157577"/>
                  <a:ext cx="850444" cy="40821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E0A60E-24BB-49CE-8278-1820C51237EF}" type="TxLink">
                    <a:rPr lang="en-US" sz="1600" b="1" i="0" u="none" strike="noStrike">
                      <a:solidFill>
                        <a:srgbClr val="FFFF00"/>
                      </a:solidFill>
                      <a:latin typeface="Century Gothic"/>
                    </a:rPr>
                    <a:pPr algn="ctr"/>
                    <a:t>25,0%</a:t>
                  </a:fld>
                  <a:endParaRPr lang="es-CO" sz="3600">
                    <a:solidFill>
                      <a:srgbClr val="FFFF00"/>
                    </a:solidFill>
                  </a:endParaRPr>
                </a:p>
              </xdr:txBody>
            </xdr:sp>
          </xdr:grpSp>
          <xdr:grpSp>
            <xdr:nvGrpSpPr>
              <xdr:cNvPr id="768" name="Grupo 767">
                <a:extLst>
                  <a:ext uri="{FF2B5EF4-FFF2-40B4-BE49-F238E27FC236}">
                    <a16:creationId xmlns:a16="http://schemas.microsoft.com/office/drawing/2014/main" id="{00000000-0008-0000-0A00-000000030000}"/>
                  </a:ext>
                </a:extLst>
              </xdr:cNvPr>
              <xdr:cNvGrpSpPr/>
            </xdr:nvGrpSpPr>
            <xdr:grpSpPr>
              <a:xfrm>
                <a:off x="21778084" y="14508357"/>
                <a:ext cx="825525" cy="275854"/>
                <a:chOff x="21778084" y="14662356"/>
                <a:chExt cx="825525" cy="275854"/>
              </a:xfrm>
            </xdr:grpSpPr>
            <xdr:sp macro="" textlink="">
              <xdr:nvSpPr>
                <xdr:cNvPr id="769" name="CuadroTexto 768">
                  <a:extLst>
                    <a:ext uri="{FF2B5EF4-FFF2-40B4-BE49-F238E27FC236}">
                      <a16:creationId xmlns:a16="http://schemas.microsoft.com/office/drawing/2014/main" id="{00000000-0008-0000-0A00-000001030000}"/>
                    </a:ext>
                  </a:extLst>
                </xdr:cNvPr>
                <xdr:cNvSpPr txBox="1"/>
              </xdr:nvSpPr>
              <xdr:spPr>
                <a:xfrm>
                  <a:off x="21778084" y="14664287"/>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19">
              <xdr:nvSpPr>
                <xdr:cNvPr id="770" name="Rectángulo 769">
                  <a:extLst>
                    <a:ext uri="{FF2B5EF4-FFF2-40B4-BE49-F238E27FC236}">
                      <a16:creationId xmlns:a16="http://schemas.microsoft.com/office/drawing/2014/main" id="{00000000-0008-0000-0A00-000002030000}"/>
                    </a:ext>
                  </a:extLst>
                </xdr:cNvPr>
                <xdr:cNvSpPr/>
              </xdr:nvSpPr>
              <xdr:spPr>
                <a:xfrm>
                  <a:off x="21830789" y="14662356"/>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CC9B548-593E-47E6-8C7F-632167C576CB}" type="TxLink">
                    <a:rPr lang="en-US" sz="1100" b="1" i="0" u="none" strike="noStrike">
                      <a:solidFill>
                        <a:srgbClr val="FFFF00"/>
                      </a:solidFill>
                      <a:latin typeface="Century Gothic"/>
                    </a:rPr>
                    <a:pPr algn="ctr"/>
                    <a:t>3</a:t>
                  </a:fld>
                  <a:endParaRPr lang="es-CO" sz="1100" b="1">
                    <a:solidFill>
                      <a:srgbClr val="FFFF00"/>
                    </a:solidFill>
                  </a:endParaRPr>
                </a:p>
              </xdr:txBody>
            </xdr:sp>
            <xdr:sp macro="" textlink="$V$19">
              <xdr:nvSpPr>
                <xdr:cNvPr id="771" name="Rectángulo 770">
                  <a:extLst>
                    <a:ext uri="{FF2B5EF4-FFF2-40B4-BE49-F238E27FC236}">
                      <a16:creationId xmlns:a16="http://schemas.microsoft.com/office/drawing/2014/main" id="{00000000-0008-0000-0A00-000003030000}"/>
                    </a:ext>
                  </a:extLst>
                </xdr:cNvPr>
                <xdr:cNvSpPr/>
              </xdr:nvSpPr>
              <xdr:spPr>
                <a:xfrm>
                  <a:off x="22116785" y="14662356"/>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A220E2FF-5893-4B00-90EC-233D6FBBB678}" type="TxLink">
                    <a:rPr lang="en-US" sz="1100" b="1" i="0" u="none" strike="noStrike">
                      <a:solidFill>
                        <a:srgbClr val="FFFF00"/>
                      </a:solidFill>
                      <a:latin typeface="Century Gothic"/>
                    </a:rPr>
                    <a:pPr algn="ctr"/>
                    <a:t>12</a:t>
                  </a:fld>
                  <a:endParaRPr lang="es-CO" sz="1100" b="1">
                    <a:solidFill>
                      <a:srgbClr val="FFFF00"/>
                    </a:solidFill>
                  </a:endParaRPr>
                </a:p>
              </xdr:txBody>
            </xdr:sp>
          </xdr:grpSp>
        </xdr:grpSp>
      </xdr:grpSp>
      <xdr:grpSp>
        <xdr:nvGrpSpPr>
          <xdr:cNvPr id="924" name="Grupo 923">
            <a:extLst>
              <a:ext uri="{FF2B5EF4-FFF2-40B4-BE49-F238E27FC236}">
                <a16:creationId xmlns:a16="http://schemas.microsoft.com/office/drawing/2014/main" id="{00000000-0008-0000-0A00-00009C030000}"/>
              </a:ext>
            </a:extLst>
          </xdr:cNvPr>
          <xdr:cNvGrpSpPr/>
        </xdr:nvGrpSpPr>
        <xdr:grpSpPr>
          <a:xfrm>
            <a:off x="11630673" y="15602535"/>
            <a:ext cx="6933765" cy="1610669"/>
            <a:chOff x="23593997" y="15707314"/>
            <a:chExt cx="6930330" cy="1670513"/>
          </a:xfrm>
        </xdr:grpSpPr>
        <xdr:grpSp>
          <xdr:nvGrpSpPr>
            <xdr:cNvPr id="682" name="Grupo 681">
              <a:extLst>
                <a:ext uri="{FF2B5EF4-FFF2-40B4-BE49-F238E27FC236}">
                  <a16:creationId xmlns:a16="http://schemas.microsoft.com/office/drawing/2014/main" id="{00000000-0008-0000-0A00-0000AA020000}"/>
                </a:ext>
              </a:extLst>
            </xdr:cNvPr>
            <xdr:cNvGrpSpPr/>
          </xdr:nvGrpSpPr>
          <xdr:grpSpPr>
            <a:xfrm>
              <a:off x="23593997" y="15707314"/>
              <a:ext cx="720000" cy="1670513"/>
              <a:chOff x="27309535" y="8406495"/>
              <a:chExt cx="719540" cy="1610348"/>
            </a:xfrm>
          </xdr:grpSpPr>
          <xdr:sp macro="" textlink="">
            <xdr:nvSpPr>
              <xdr:cNvPr id="693" name="Rectángulo 692">
                <a:extLst>
                  <a:ext uri="{FF2B5EF4-FFF2-40B4-BE49-F238E27FC236}">
                    <a16:creationId xmlns:a16="http://schemas.microsoft.com/office/drawing/2014/main" id="{00000000-0008-0000-0A00-0000B5020000}"/>
                  </a:ext>
                </a:extLst>
              </xdr:cNvPr>
              <xdr:cNvSpPr/>
            </xdr:nvSpPr>
            <xdr:spPr>
              <a:xfrm>
                <a:off x="27309535" y="8504462"/>
                <a:ext cx="719540" cy="14400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94" name="CuadroTexto 693">
                <a:extLst>
                  <a:ext uri="{FF2B5EF4-FFF2-40B4-BE49-F238E27FC236}">
                    <a16:creationId xmlns:a16="http://schemas.microsoft.com/office/drawing/2014/main" id="{00000000-0008-0000-0A00-0000B6020000}"/>
                  </a:ext>
                </a:extLst>
              </xdr:cNvPr>
              <xdr:cNvSpPr txBox="1"/>
            </xdr:nvSpPr>
            <xdr:spPr>
              <a:xfrm rot="16200000">
                <a:off x="26864212"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tx1">
                        <a:lumMod val="95000"/>
                        <a:lumOff val="5000"/>
                      </a:schemeClr>
                    </a:solidFill>
                    <a:latin typeface="Century Gothic" panose="020B0502020202020204" pitchFamily="34" charset="0"/>
                  </a:rPr>
                  <a:t>EVALUACION Y</a:t>
                </a:r>
              </a:p>
              <a:p>
                <a:pPr algn="ctr"/>
                <a:r>
                  <a:rPr lang="es-CO" sz="1400" b="1">
                    <a:solidFill>
                      <a:schemeClr val="tx1">
                        <a:lumMod val="95000"/>
                        <a:lumOff val="5000"/>
                      </a:schemeClr>
                    </a:solidFill>
                    <a:latin typeface="Century Gothic" panose="020B0502020202020204" pitchFamily="34" charset="0"/>
                  </a:rPr>
                  <a:t>CONTROL</a:t>
                </a:r>
              </a:p>
            </xdr:txBody>
          </xdr:sp>
        </xdr:grpSp>
        <xdr:sp macro="" textlink="">
          <xdr:nvSpPr>
            <xdr:cNvPr id="683" name="Flecha abajo 682">
              <a:extLst>
                <a:ext uri="{FF2B5EF4-FFF2-40B4-BE49-F238E27FC236}">
                  <a16:creationId xmlns:a16="http://schemas.microsoft.com/office/drawing/2014/main" id="{00000000-0008-0000-0A00-0000AB020000}"/>
                </a:ext>
              </a:extLst>
            </xdr:cNvPr>
            <xdr:cNvSpPr/>
          </xdr:nvSpPr>
          <xdr:spPr>
            <a:xfrm rot="10800000">
              <a:off x="28975706" y="15829191"/>
              <a:ext cx="468299" cy="298760"/>
            </a:xfrm>
            <a:prstGeom prst="downArrow">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84" name="Grupo 683">
              <a:extLst>
                <a:ext uri="{FF2B5EF4-FFF2-40B4-BE49-F238E27FC236}">
                  <a16:creationId xmlns:a16="http://schemas.microsoft.com/office/drawing/2014/main" id="{00000000-0008-0000-0A00-0000AC020000}"/>
                </a:ext>
              </a:extLst>
            </xdr:cNvPr>
            <xdr:cNvGrpSpPr/>
          </xdr:nvGrpSpPr>
          <xdr:grpSpPr>
            <a:xfrm>
              <a:off x="28362945" y="16254641"/>
              <a:ext cx="2161382" cy="750055"/>
              <a:chOff x="16761275" y="17298378"/>
              <a:chExt cx="2158482" cy="736372"/>
            </a:xfrm>
          </xdr:grpSpPr>
          <xdr:grpSp>
            <xdr:nvGrpSpPr>
              <xdr:cNvPr id="685" name="Grupo 684">
                <a:extLst>
                  <a:ext uri="{FF2B5EF4-FFF2-40B4-BE49-F238E27FC236}">
                    <a16:creationId xmlns:a16="http://schemas.microsoft.com/office/drawing/2014/main" id="{00000000-0008-0000-0A00-0000AD020000}"/>
                  </a:ext>
                </a:extLst>
              </xdr:cNvPr>
              <xdr:cNvGrpSpPr/>
            </xdr:nvGrpSpPr>
            <xdr:grpSpPr>
              <a:xfrm>
                <a:off x="16761275" y="17298378"/>
                <a:ext cx="2158482" cy="736372"/>
                <a:chOff x="28351843" y="12455641"/>
                <a:chExt cx="2160000" cy="723042"/>
              </a:xfrm>
            </xdr:grpSpPr>
            <xdr:sp macro="" textlink="">
              <xdr:nvSpPr>
                <xdr:cNvPr id="690" name="Cheurón 689">
                  <a:extLst>
                    <a:ext uri="{FF2B5EF4-FFF2-40B4-BE49-F238E27FC236}">
                      <a16:creationId xmlns:a16="http://schemas.microsoft.com/office/drawing/2014/main" id="{00000000-0008-0000-0A00-0000B2020000}"/>
                    </a:ext>
                  </a:extLst>
                </xdr:cNvPr>
                <xdr:cNvSpPr/>
              </xdr:nvSpPr>
              <xdr:spPr>
                <a:xfrm>
                  <a:off x="28351843" y="12458683"/>
                  <a:ext cx="2160000" cy="720000"/>
                </a:xfrm>
                <a:prstGeom prst="chevron">
                  <a:avLst>
                    <a:gd name="adj" fmla="val 3372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691" name="CuadroTexto 690">
                  <a:extLst>
                    <a:ext uri="{FF2B5EF4-FFF2-40B4-BE49-F238E27FC236}">
                      <a16:creationId xmlns:a16="http://schemas.microsoft.com/office/drawing/2014/main" id="{00000000-0008-0000-0A00-0000B3020000}"/>
                    </a:ext>
                  </a:extLst>
                </xdr:cNvPr>
                <xdr:cNvSpPr txBox="1"/>
              </xdr:nvSpPr>
              <xdr:spPr>
                <a:xfrm>
                  <a:off x="28448411" y="12455641"/>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tx1">
                          <a:lumMod val="95000"/>
                          <a:lumOff val="5000"/>
                        </a:schemeClr>
                      </a:solidFill>
                      <a:latin typeface="Century Gothic" panose="020B0502020202020204" pitchFamily="34" charset="0"/>
                    </a:rPr>
                    <a:t>GESTION</a:t>
                  </a:r>
                </a:p>
                <a:p>
                  <a:pPr algn="ctr"/>
                  <a:r>
                    <a:rPr lang="es-CO" sz="1100" b="1">
                      <a:solidFill>
                        <a:schemeClr val="tx1">
                          <a:lumMod val="95000"/>
                          <a:lumOff val="5000"/>
                        </a:schemeClr>
                      </a:solidFill>
                      <a:latin typeface="Century Gothic" panose="020B0502020202020204" pitchFamily="34" charset="0"/>
                    </a:rPr>
                    <a:t>EVALUACION</a:t>
                  </a:r>
                </a:p>
              </xdr:txBody>
            </xdr:sp>
            <xdr:sp macro="" textlink="$P$28">
              <xdr:nvSpPr>
                <xdr:cNvPr id="692" name="Rectángulo redondeado 691">
                  <a:extLst>
                    <a:ext uri="{FF2B5EF4-FFF2-40B4-BE49-F238E27FC236}">
                      <a16:creationId xmlns:a16="http://schemas.microsoft.com/office/drawing/2014/main" id="{00000000-0008-0000-0A00-0000B4020000}"/>
                    </a:ext>
                  </a:extLst>
                </xdr:cNvPr>
                <xdr:cNvSpPr/>
              </xdr:nvSpPr>
              <xdr:spPr>
                <a:xfrm>
                  <a:off x="29530050" y="12556922"/>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14B0E5C-9AF2-4542-AEC1-CB24417AEDA2}" type="TxLink">
                    <a:rPr lang="en-US" sz="1100" b="1" i="0" u="none" strike="noStrike">
                      <a:solidFill>
                        <a:srgbClr val="000000"/>
                      </a:solidFill>
                      <a:latin typeface="Century Gothic"/>
                    </a:rPr>
                    <a:pPr algn="ctr"/>
                    <a:t>-</a:t>
                  </a:fld>
                  <a:endParaRPr lang="es-CO" sz="5400">
                    <a:solidFill>
                      <a:schemeClr val="tx1">
                        <a:lumMod val="95000"/>
                        <a:lumOff val="5000"/>
                      </a:schemeClr>
                    </a:solidFill>
                  </a:endParaRPr>
                </a:p>
              </xdr:txBody>
            </xdr:sp>
          </xdr:grpSp>
          <xdr:grpSp>
            <xdr:nvGrpSpPr>
              <xdr:cNvPr id="686" name="Grupo 685">
                <a:extLst>
                  <a:ext uri="{FF2B5EF4-FFF2-40B4-BE49-F238E27FC236}">
                    <a16:creationId xmlns:a16="http://schemas.microsoft.com/office/drawing/2014/main" id="{00000000-0008-0000-0A00-0000AE020000}"/>
                  </a:ext>
                </a:extLst>
              </xdr:cNvPr>
              <xdr:cNvGrpSpPr/>
            </xdr:nvGrpSpPr>
            <xdr:grpSpPr>
              <a:xfrm>
                <a:off x="17936902" y="17738142"/>
                <a:ext cx="825525" cy="278713"/>
                <a:chOff x="17936902" y="17919981"/>
                <a:chExt cx="825525" cy="278713"/>
              </a:xfrm>
            </xdr:grpSpPr>
            <xdr:sp macro="" textlink="">
              <xdr:nvSpPr>
                <xdr:cNvPr id="687" name="CuadroTexto 686">
                  <a:extLst>
                    <a:ext uri="{FF2B5EF4-FFF2-40B4-BE49-F238E27FC236}">
                      <a16:creationId xmlns:a16="http://schemas.microsoft.com/office/drawing/2014/main" id="{00000000-0008-0000-0A00-0000AF020000}"/>
                    </a:ext>
                  </a:extLst>
                </xdr:cNvPr>
                <xdr:cNvSpPr txBox="1"/>
              </xdr:nvSpPr>
              <xdr:spPr>
                <a:xfrm>
                  <a:off x="17936902" y="1792671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chemeClr val="tx1">
                          <a:lumMod val="95000"/>
                          <a:lumOff val="5000"/>
                        </a:schemeClr>
                      </a:solidFill>
                      <a:latin typeface="Century Gothic" panose="020B0502020202020204" pitchFamily="34" charset="0"/>
                    </a:rPr>
                    <a:t>(</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  </a:t>
                  </a:r>
                  <a:r>
                    <a:rPr lang="es-CO" sz="1100" i="0" baseline="0">
                      <a:solidFill>
                        <a:schemeClr val="tx1">
                          <a:lumMod val="95000"/>
                          <a:lumOff val="5000"/>
                        </a:schemeClr>
                      </a:solidFill>
                      <a:latin typeface="Century Gothic" panose="020B0502020202020204" pitchFamily="34" charset="0"/>
                    </a:rPr>
                    <a:t>    </a:t>
                  </a:r>
                  <a:r>
                    <a:rPr lang="es-CO" sz="1100" i="0">
                      <a:solidFill>
                        <a:schemeClr val="tx1">
                          <a:lumMod val="95000"/>
                          <a:lumOff val="5000"/>
                        </a:schemeClr>
                      </a:solidFill>
                      <a:latin typeface="Century Gothic" panose="020B0502020202020204" pitchFamily="34" charset="0"/>
                    </a:rPr>
                    <a:t>)</a:t>
                  </a:r>
                </a:p>
              </xdr:txBody>
            </xdr:sp>
            <xdr:sp macro="" textlink="$O$28">
              <xdr:nvSpPr>
                <xdr:cNvPr id="688" name="Rectángulo 687">
                  <a:extLst>
                    <a:ext uri="{FF2B5EF4-FFF2-40B4-BE49-F238E27FC236}">
                      <a16:creationId xmlns:a16="http://schemas.microsoft.com/office/drawing/2014/main" id="{00000000-0008-0000-0A00-0000B0020000}"/>
                    </a:ext>
                  </a:extLst>
                </xdr:cNvPr>
                <xdr:cNvSpPr/>
              </xdr:nvSpPr>
              <xdr:spPr>
                <a:xfrm>
                  <a:off x="17989607" y="17919981"/>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C5B8C5E-24BA-4436-8D1F-A2FC47E58997}" type="TxLink">
                    <a:rPr lang="en-US" sz="1100" b="0" i="0" u="none" strike="noStrike">
                      <a:solidFill>
                        <a:srgbClr val="000000"/>
                      </a:solidFill>
                      <a:latin typeface="Century Gothic"/>
                    </a:rPr>
                    <a:pPr algn="ctr"/>
                    <a:t>-</a:t>
                  </a:fld>
                  <a:endParaRPr lang="es-CO" sz="1100" b="1">
                    <a:solidFill>
                      <a:schemeClr val="tx1">
                        <a:lumMod val="95000"/>
                        <a:lumOff val="5000"/>
                      </a:schemeClr>
                    </a:solidFill>
                  </a:endParaRPr>
                </a:p>
              </xdr:txBody>
            </xdr:sp>
            <xdr:sp macro="" textlink="$V$28">
              <xdr:nvSpPr>
                <xdr:cNvPr id="689" name="Rectángulo 688">
                  <a:extLst>
                    <a:ext uri="{FF2B5EF4-FFF2-40B4-BE49-F238E27FC236}">
                      <a16:creationId xmlns:a16="http://schemas.microsoft.com/office/drawing/2014/main" id="{00000000-0008-0000-0A00-0000B1020000}"/>
                    </a:ext>
                  </a:extLst>
                </xdr:cNvPr>
                <xdr:cNvSpPr/>
              </xdr:nvSpPr>
              <xdr:spPr>
                <a:xfrm>
                  <a:off x="18275603" y="17919981"/>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0C98DF-0903-48D0-917D-1BDA83D8571B}" type="TxLink">
                    <a:rPr lang="en-US" sz="1100" b="1" i="0" u="none" strike="noStrike">
                      <a:solidFill>
                        <a:srgbClr val="000000"/>
                      </a:solidFill>
                      <a:latin typeface="Century Gothic"/>
                    </a:rPr>
                    <a:pPr algn="ctr"/>
                    <a:t>-</a:t>
                  </a:fld>
                  <a:endParaRPr lang="es-CO" sz="1100" b="1">
                    <a:solidFill>
                      <a:schemeClr val="tx1">
                        <a:lumMod val="95000"/>
                        <a:lumOff val="5000"/>
                      </a:schemeClr>
                    </a:solidFill>
                  </a:endParaRPr>
                </a:p>
              </xdr:txBody>
            </xdr:sp>
          </xdr:grpSp>
        </xdr:grpSp>
      </xdr:grpSp>
      <xdr:grpSp>
        <xdr:nvGrpSpPr>
          <xdr:cNvPr id="1164" name="Grupo 1163">
            <a:extLst>
              <a:ext uri="{FF2B5EF4-FFF2-40B4-BE49-F238E27FC236}">
                <a16:creationId xmlns:a16="http://schemas.microsoft.com/office/drawing/2014/main" id="{00000000-0008-0000-0A00-00008C040000}"/>
              </a:ext>
            </a:extLst>
          </xdr:cNvPr>
          <xdr:cNvGrpSpPr/>
        </xdr:nvGrpSpPr>
        <xdr:grpSpPr>
          <a:xfrm>
            <a:off x="11631000" y="13726521"/>
            <a:ext cx="10822329" cy="1894485"/>
            <a:chOff x="11631000" y="13726521"/>
            <a:chExt cx="10822329" cy="1894485"/>
          </a:xfrm>
        </xdr:grpSpPr>
        <xdr:grpSp>
          <xdr:nvGrpSpPr>
            <xdr:cNvPr id="1163" name="Grupo 1162">
              <a:extLst>
                <a:ext uri="{FF2B5EF4-FFF2-40B4-BE49-F238E27FC236}">
                  <a16:creationId xmlns:a16="http://schemas.microsoft.com/office/drawing/2014/main" id="{00000000-0008-0000-0A00-00008B040000}"/>
                </a:ext>
              </a:extLst>
            </xdr:cNvPr>
            <xdr:cNvGrpSpPr/>
          </xdr:nvGrpSpPr>
          <xdr:grpSpPr>
            <a:xfrm>
              <a:off x="20292295" y="14063295"/>
              <a:ext cx="2161034" cy="726200"/>
              <a:chOff x="20292295" y="14063295"/>
              <a:chExt cx="2161034" cy="726200"/>
            </a:xfrm>
          </xdr:grpSpPr>
          <xdr:grpSp>
            <xdr:nvGrpSpPr>
              <xdr:cNvPr id="705" name="Grupo 704">
                <a:extLst>
                  <a:ext uri="{FF2B5EF4-FFF2-40B4-BE49-F238E27FC236}">
                    <a16:creationId xmlns:a16="http://schemas.microsoft.com/office/drawing/2014/main" id="{00000000-0008-0000-0A00-0000C1020000}"/>
                  </a:ext>
                </a:extLst>
              </xdr:cNvPr>
              <xdr:cNvGrpSpPr/>
            </xdr:nvGrpSpPr>
            <xdr:grpSpPr>
              <a:xfrm>
                <a:off x="20292295" y="14063295"/>
                <a:ext cx="2161034" cy="726200"/>
                <a:chOff x="28351843" y="12458683"/>
                <a:chExt cx="2160000" cy="726638"/>
              </a:xfrm>
            </xdr:grpSpPr>
            <xdr:sp macro="" textlink="">
              <xdr:nvSpPr>
                <xdr:cNvPr id="710" name="Cheurón 709">
                  <a:extLst>
                    <a:ext uri="{FF2B5EF4-FFF2-40B4-BE49-F238E27FC236}">
                      <a16:creationId xmlns:a16="http://schemas.microsoft.com/office/drawing/2014/main" id="{00000000-0008-0000-0A00-0000C6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11" name="CuadroTexto 710">
                  <a:extLst>
                    <a:ext uri="{FF2B5EF4-FFF2-40B4-BE49-F238E27FC236}">
                      <a16:creationId xmlns:a16="http://schemas.microsoft.com/office/drawing/2014/main" id="{00000000-0008-0000-0A00-0000C7020000}"/>
                    </a:ext>
                  </a:extLst>
                </xdr:cNvPr>
                <xdr:cNvSpPr txBox="1"/>
              </xdr:nvSpPr>
              <xdr:spPr>
                <a:xfrm>
                  <a:off x="2847066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JURIDICA</a:t>
                  </a:r>
                </a:p>
              </xdr:txBody>
            </xdr:sp>
            <xdr:sp macro="" textlink="$P$24">
              <xdr:nvSpPr>
                <xdr:cNvPr id="712" name="Rectángulo redondeado 711">
                  <a:extLst>
                    <a:ext uri="{FF2B5EF4-FFF2-40B4-BE49-F238E27FC236}">
                      <a16:creationId xmlns:a16="http://schemas.microsoft.com/office/drawing/2014/main" id="{00000000-0008-0000-0A00-0000C8020000}"/>
                    </a:ext>
                  </a:extLst>
                </xdr:cNvPr>
                <xdr:cNvSpPr/>
              </xdr:nvSpPr>
              <xdr:spPr>
                <a:xfrm>
                  <a:off x="29570871"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C04E983-D614-4556-80CE-1FFC69A45038}" type="TxLink">
                    <a:rPr lang="en-US" sz="1600" b="1" i="0" u="none" strike="noStrike">
                      <a:solidFill>
                        <a:srgbClr val="FFFF00"/>
                      </a:solidFill>
                      <a:latin typeface="Century Gothic"/>
                    </a:rPr>
                    <a:pPr algn="ctr"/>
                    <a:t>-</a:t>
                  </a:fld>
                  <a:endParaRPr lang="es-CO" sz="8800">
                    <a:solidFill>
                      <a:srgbClr val="FFFF00"/>
                    </a:solidFill>
                  </a:endParaRPr>
                </a:p>
              </xdr:txBody>
            </xdr:sp>
          </xdr:grpSp>
          <xdr:grpSp>
            <xdr:nvGrpSpPr>
              <xdr:cNvPr id="706" name="Grupo 705">
                <a:extLst>
                  <a:ext uri="{FF2B5EF4-FFF2-40B4-BE49-F238E27FC236}">
                    <a16:creationId xmlns:a16="http://schemas.microsoft.com/office/drawing/2014/main" id="{00000000-0008-0000-0A00-0000C2020000}"/>
                  </a:ext>
                </a:extLst>
              </xdr:cNvPr>
              <xdr:cNvGrpSpPr/>
            </xdr:nvGrpSpPr>
            <xdr:grpSpPr>
              <a:xfrm>
                <a:off x="21484084" y="14510288"/>
                <a:ext cx="826634" cy="273422"/>
                <a:chOff x="21838689" y="15788044"/>
                <a:chExt cx="825525" cy="275854"/>
              </a:xfrm>
            </xdr:grpSpPr>
            <xdr:sp macro="" textlink="">
              <xdr:nvSpPr>
                <xdr:cNvPr id="707" name="CuadroTexto 706">
                  <a:extLst>
                    <a:ext uri="{FF2B5EF4-FFF2-40B4-BE49-F238E27FC236}">
                      <a16:creationId xmlns:a16="http://schemas.microsoft.com/office/drawing/2014/main" id="{00000000-0008-0000-0A00-0000C3020000}"/>
                    </a:ext>
                  </a:extLst>
                </xdr:cNvPr>
                <xdr:cNvSpPr txBox="1"/>
              </xdr:nvSpPr>
              <xdr:spPr>
                <a:xfrm>
                  <a:off x="21838689" y="15789983"/>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4">
              <xdr:nvSpPr>
                <xdr:cNvPr id="708" name="Rectángulo 707">
                  <a:extLst>
                    <a:ext uri="{FF2B5EF4-FFF2-40B4-BE49-F238E27FC236}">
                      <a16:creationId xmlns:a16="http://schemas.microsoft.com/office/drawing/2014/main" id="{00000000-0008-0000-0A00-0000C402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7DB69B3-D1A9-45D8-91AE-3C304F754922}"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24">
              <xdr:nvSpPr>
                <xdr:cNvPr id="709" name="Rectángulo 708">
                  <a:extLst>
                    <a:ext uri="{FF2B5EF4-FFF2-40B4-BE49-F238E27FC236}">
                      <a16:creationId xmlns:a16="http://schemas.microsoft.com/office/drawing/2014/main" id="{00000000-0008-0000-0A00-0000C502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FEA4D55E-EC0A-451C-9CA2-CFBA929724FE}" type="TxLink">
                    <a:rPr lang="en-US" sz="1100" b="1" i="0" u="none" strike="noStrike">
                      <a:solidFill>
                        <a:srgbClr val="FFFF00"/>
                      </a:solidFill>
                      <a:latin typeface="Century Gothic"/>
                    </a:rPr>
                    <a:pPr algn="ctr"/>
                    <a:t>0</a:t>
                  </a:fld>
                  <a:endParaRPr lang="es-CO" sz="1100" b="1">
                    <a:solidFill>
                      <a:srgbClr val="FFFF00"/>
                    </a:solidFill>
                  </a:endParaRPr>
                </a:p>
              </xdr:txBody>
            </xdr:sp>
          </xdr:grpSp>
        </xdr:grpSp>
        <xdr:grpSp>
          <xdr:nvGrpSpPr>
            <xdr:cNvPr id="695" name="Grupo 694">
              <a:extLst>
                <a:ext uri="{FF2B5EF4-FFF2-40B4-BE49-F238E27FC236}">
                  <a16:creationId xmlns:a16="http://schemas.microsoft.com/office/drawing/2014/main" id="{00000000-0008-0000-0A00-0000B7020000}"/>
                </a:ext>
              </a:extLst>
            </xdr:cNvPr>
            <xdr:cNvGrpSpPr/>
          </xdr:nvGrpSpPr>
          <xdr:grpSpPr>
            <a:xfrm>
              <a:off x="11631000" y="14011630"/>
              <a:ext cx="720357" cy="1609376"/>
              <a:chOff x="27309535" y="8406495"/>
              <a:chExt cx="720013" cy="1610348"/>
            </a:xfrm>
          </xdr:grpSpPr>
          <xdr:sp macro="" textlink="">
            <xdr:nvSpPr>
              <xdr:cNvPr id="754" name="Rectángulo 753">
                <a:extLst>
                  <a:ext uri="{FF2B5EF4-FFF2-40B4-BE49-F238E27FC236}">
                    <a16:creationId xmlns:a16="http://schemas.microsoft.com/office/drawing/2014/main" id="{00000000-0008-0000-0A00-0000F2020000}"/>
                  </a:ext>
                </a:extLst>
              </xdr:cNvPr>
              <xdr:cNvSpPr/>
            </xdr:nvSpPr>
            <xdr:spPr>
              <a:xfrm>
                <a:off x="27309535" y="8450034"/>
                <a:ext cx="720013" cy="1548000"/>
              </a:xfrm>
              <a:prstGeom prst="rect">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755" name="CuadroTexto 754">
                <a:extLst>
                  <a:ext uri="{FF2B5EF4-FFF2-40B4-BE49-F238E27FC236}">
                    <a16:creationId xmlns:a16="http://schemas.microsoft.com/office/drawing/2014/main" id="{00000000-0008-0000-0A00-0000F3020000}"/>
                  </a:ext>
                </a:extLst>
              </xdr:cNvPr>
              <xdr:cNvSpPr txBox="1"/>
            </xdr:nvSpPr>
            <xdr:spPr>
              <a:xfrm rot="16200000">
                <a:off x="26864178" y="8942058"/>
                <a:ext cx="1610348" cy="53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400" b="1">
                    <a:solidFill>
                      <a:schemeClr val="bg1"/>
                    </a:solidFill>
                    <a:latin typeface="Century Gothic" panose="020B0502020202020204" pitchFamily="34" charset="0"/>
                  </a:rPr>
                  <a:t>APOYO</a:t>
                </a:r>
              </a:p>
            </xdr:txBody>
          </xdr:sp>
        </xdr:grpSp>
        <xdr:sp macro="" textlink="">
          <xdr:nvSpPr>
            <xdr:cNvPr id="699" name="Flecha abajo 698">
              <a:extLst>
                <a:ext uri="{FF2B5EF4-FFF2-40B4-BE49-F238E27FC236}">
                  <a16:creationId xmlns:a16="http://schemas.microsoft.com/office/drawing/2014/main" id="{00000000-0008-0000-0A00-0000BB020000}"/>
                </a:ext>
              </a:extLst>
            </xdr:cNvPr>
            <xdr:cNvSpPr/>
          </xdr:nvSpPr>
          <xdr:spPr>
            <a:xfrm rot="10800000">
              <a:off x="17011453" y="13726521"/>
              <a:ext cx="468224" cy="287826"/>
            </a:xfrm>
            <a:prstGeom prst="downArrow">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700" name="Grupo 699">
              <a:extLst>
                <a:ext uri="{FF2B5EF4-FFF2-40B4-BE49-F238E27FC236}">
                  <a16:creationId xmlns:a16="http://schemas.microsoft.com/office/drawing/2014/main" id="{00000000-0008-0000-0A00-0000BC020000}"/>
                </a:ext>
              </a:extLst>
            </xdr:cNvPr>
            <xdr:cNvGrpSpPr/>
          </xdr:nvGrpSpPr>
          <xdr:grpSpPr>
            <a:xfrm>
              <a:off x="12453559" y="14063294"/>
              <a:ext cx="2161034" cy="730012"/>
              <a:chOff x="12820100" y="15204109"/>
              <a:chExt cx="2157065" cy="743322"/>
            </a:xfrm>
          </xdr:grpSpPr>
          <xdr:grpSp>
            <xdr:nvGrpSpPr>
              <xdr:cNvPr id="737" name="Grupo 736">
                <a:extLst>
                  <a:ext uri="{FF2B5EF4-FFF2-40B4-BE49-F238E27FC236}">
                    <a16:creationId xmlns:a16="http://schemas.microsoft.com/office/drawing/2014/main" id="{00000000-0008-0000-0A00-0000E1020000}"/>
                  </a:ext>
                </a:extLst>
              </xdr:cNvPr>
              <xdr:cNvGrpSpPr/>
            </xdr:nvGrpSpPr>
            <xdr:grpSpPr>
              <a:xfrm>
                <a:off x="12820100" y="15204109"/>
                <a:ext cx="2157065" cy="739441"/>
                <a:chOff x="28351843" y="12458683"/>
                <a:chExt cx="2160000" cy="726638"/>
              </a:xfrm>
            </xdr:grpSpPr>
            <xdr:sp macro="" textlink="">
              <xdr:nvSpPr>
                <xdr:cNvPr id="742" name="Cheurón 741">
                  <a:extLst>
                    <a:ext uri="{FF2B5EF4-FFF2-40B4-BE49-F238E27FC236}">
                      <a16:creationId xmlns:a16="http://schemas.microsoft.com/office/drawing/2014/main" id="{00000000-0008-0000-0A00-0000E6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43" name="CuadroTexto 742">
                  <a:extLst>
                    <a:ext uri="{FF2B5EF4-FFF2-40B4-BE49-F238E27FC236}">
                      <a16:creationId xmlns:a16="http://schemas.microsoft.com/office/drawing/2014/main" id="{00000000-0008-0000-0A00-0000E7020000}"/>
                    </a:ext>
                  </a:extLst>
                </xdr:cNvPr>
                <xdr:cNvSpPr txBox="1"/>
              </xdr:nvSpPr>
              <xdr:spPr>
                <a:xfrm>
                  <a:off x="2846946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TALENTO</a:t>
                  </a:r>
                </a:p>
                <a:p>
                  <a:pPr algn="ctr"/>
                  <a:r>
                    <a:rPr lang="es-CO" sz="1100" b="1">
                      <a:solidFill>
                        <a:schemeClr val="bg1"/>
                      </a:solidFill>
                      <a:latin typeface="Century Gothic" panose="020B0502020202020204" pitchFamily="34" charset="0"/>
                    </a:rPr>
                    <a:t>HUMANO</a:t>
                  </a:r>
                </a:p>
              </xdr:txBody>
            </xdr:sp>
            <xdr:sp macro="" textlink="$P$20">
              <xdr:nvSpPr>
                <xdr:cNvPr id="744" name="Rectángulo redondeado 743">
                  <a:extLst>
                    <a:ext uri="{FF2B5EF4-FFF2-40B4-BE49-F238E27FC236}">
                      <a16:creationId xmlns:a16="http://schemas.microsoft.com/office/drawing/2014/main" id="{00000000-0008-0000-0A00-0000E8020000}"/>
                    </a:ext>
                  </a:extLst>
                </xdr:cNvPr>
                <xdr:cNvSpPr/>
              </xdr:nvSpPr>
              <xdr:spPr>
                <a:xfrm>
                  <a:off x="29557264" y="12570521"/>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4DE78FA-A512-4BAE-AE21-262DDBD95E11}" type="TxLink">
                    <a:rPr lang="en-US" sz="1600" b="1" i="0" u="none" strike="noStrike">
                      <a:solidFill>
                        <a:srgbClr val="FFFF00"/>
                      </a:solidFill>
                      <a:latin typeface="Century Gothic"/>
                    </a:rPr>
                    <a:pPr algn="ctr"/>
                    <a:t>22,2%</a:t>
                  </a:fld>
                  <a:endParaRPr lang="es-CO" sz="4000">
                    <a:solidFill>
                      <a:srgbClr val="FFFF00"/>
                    </a:solidFill>
                  </a:endParaRPr>
                </a:p>
              </xdr:txBody>
            </xdr:sp>
          </xdr:grpSp>
          <xdr:grpSp>
            <xdr:nvGrpSpPr>
              <xdr:cNvPr id="738" name="Grupo 737">
                <a:extLst>
                  <a:ext uri="{FF2B5EF4-FFF2-40B4-BE49-F238E27FC236}">
                    <a16:creationId xmlns:a16="http://schemas.microsoft.com/office/drawing/2014/main" id="{00000000-0008-0000-0A00-0000E2020000}"/>
                  </a:ext>
                </a:extLst>
              </xdr:cNvPr>
              <xdr:cNvGrpSpPr/>
            </xdr:nvGrpSpPr>
            <xdr:grpSpPr>
              <a:xfrm>
                <a:off x="14033393" y="15663117"/>
                <a:ext cx="825525" cy="284314"/>
                <a:chOff x="14059370" y="15823739"/>
                <a:chExt cx="825525" cy="284314"/>
              </a:xfrm>
            </xdr:grpSpPr>
            <xdr:sp macro="" textlink="">
              <xdr:nvSpPr>
                <xdr:cNvPr id="739" name="CuadroTexto 738">
                  <a:extLst>
                    <a:ext uri="{FF2B5EF4-FFF2-40B4-BE49-F238E27FC236}">
                      <a16:creationId xmlns:a16="http://schemas.microsoft.com/office/drawing/2014/main" id="{00000000-0008-0000-0A00-0000E3020000}"/>
                    </a:ext>
                  </a:extLst>
                </xdr:cNvPr>
                <xdr:cNvSpPr txBox="1"/>
              </xdr:nvSpPr>
              <xdr:spPr>
                <a:xfrm>
                  <a:off x="14059370" y="1582373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b="0" i="0">
                      <a:solidFill>
                        <a:srgbClr val="FFFF00"/>
                      </a:solidFill>
                      <a:latin typeface="Century Gothic" panose="020B0502020202020204" pitchFamily="34" charset="0"/>
                    </a:rPr>
                    <a:t>(</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  </a:t>
                  </a:r>
                  <a:r>
                    <a:rPr lang="es-CO" sz="1100" b="0" i="0" baseline="0">
                      <a:solidFill>
                        <a:srgbClr val="FFFF00"/>
                      </a:solidFill>
                      <a:latin typeface="Century Gothic" panose="020B0502020202020204" pitchFamily="34" charset="0"/>
                    </a:rPr>
                    <a:t>    </a:t>
                  </a:r>
                  <a:r>
                    <a:rPr lang="es-CO" sz="1100" b="0" i="0">
                      <a:solidFill>
                        <a:srgbClr val="FFFF00"/>
                      </a:solidFill>
                      <a:latin typeface="Century Gothic" panose="020B0502020202020204" pitchFamily="34" charset="0"/>
                    </a:rPr>
                    <a:t>)</a:t>
                  </a:r>
                </a:p>
              </xdr:txBody>
            </xdr:sp>
            <xdr:sp macro="" textlink="$O$20">
              <xdr:nvSpPr>
                <xdr:cNvPr id="740" name="Rectángulo 739">
                  <a:extLst>
                    <a:ext uri="{FF2B5EF4-FFF2-40B4-BE49-F238E27FC236}">
                      <a16:creationId xmlns:a16="http://schemas.microsoft.com/office/drawing/2014/main" id="{00000000-0008-0000-0A00-0000E4020000}"/>
                    </a:ext>
                  </a:extLst>
                </xdr:cNvPr>
                <xdr:cNvSpPr/>
              </xdr:nvSpPr>
              <xdr:spPr>
                <a:xfrm>
                  <a:off x="14112075" y="1583219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3096044A-B804-4C28-8983-F177C4A6559C}" type="TxLink">
                    <a:rPr lang="en-US" sz="1100" b="1" i="0" u="none" strike="noStrike">
                      <a:solidFill>
                        <a:srgbClr val="FFFF00"/>
                      </a:solidFill>
                      <a:latin typeface="Century Gothic"/>
                    </a:rPr>
                    <a:pPr algn="ctr"/>
                    <a:t>4</a:t>
                  </a:fld>
                  <a:endParaRPr lang="es-CO" sz="1100" b="1">
                    <a:solidFill>
                      <a:srgbClr val="FFFF00"/>
                    </a:solidFill>
                  </a:endParaRPr>
                </a:p>
              </xdr:txBody>
            </xdr:sp>
            <xdr:sp macro="" textlink="$V$20">
              <xdr:nvSpPr>
                <xdr:cNvPr id="741" name="Rectángulo 740">
                  <a:extLst>
                    <a:ext uri="{FF2B5EF4-FFF2-40B4-BE49-F238E27FC236}">
                      <a16:creationId xmlns:a16="http://schemas.microsoft.com/office/drawing/2014/main" id="{00000000-0008-0000-0A00-0000E5020000}"/>
                    </a:ext>
                  </a:extLst>
                </xdr:cNvPr>
                <xdr:cNvSpPr/>
              </xdr:nvSpPr>
              <xdr:spPr>
                <a:xfrm>
                  <a:off x="14398071" y="1583219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B05B9EF0-5187-4D48-B76A-E8C3F69B39B9}" type="TxLink">
                    <a:rPr lang="en-US" sz="1100" b="1" i="0" u="none" strike="noStrike">
                      <a:solidFill>
                        <a:srgbClr val="FFFF00"/>
                      </a:solidFill>
                      <a:latin typeface="Century Gothic"/>
                    </a:rPr>
                    <a:pPr algn="ctr"/>
                    <a:t>18</a:t>
                  </a:fld>
                  <a:endParaRPr lang="es-CO" sz="1100" b="1">
                    <a:solidFill>
                      <a:srgbClr val="FFFF00"/>
                    </a:solidFill>
                  </a:endParaRPr>
                </a:p>
              </xdr:txBody>
            </xdr:sp>
          </xdr:grpSp>
        </xdr:grpSp>
        <xdr:grpSp>
          <xdr:nvGrpSpPr>
            <xdr:cNvPr id="701" name="Grupo 700">
              <a:extLst>
                <a:ext uri="{FF2B5EF4-FFF2-40B4-BE49-F238E27FC236}">
                  <a16:creationId xmlns:a16="http://schemas.microsoft.com/office/drawing/2014/main" id="{00000000-0008-0000-0A00-0000BD020000}"/>
                </a:ext>
              </a:extLst>
            </xdr:cNvPr>
            <xdr:cNvGrpSpPr/>
          </xdr:nvGrpSpPr>
          <xdr:grpSpPr>
            <a:xfrm>
              <a:off x="14403034" y="14063294"/>
              <a:ext cx="2169673" cy="730012"/>
              <a:chOff x="14765995" y="15204109"/>
              <a:chExt cx="2165688" cy="743322"/>
            </a:xfrm>
          </xdr:grpSpPr>
          <xdr:grpSp>
            <xdr:nvGrpSpPr>
              <xdr:cNvPr id="729" name="Grupo 728">
                <a:extLst>
                  <a:ext uri="{FF2B5EF4-FFF2-40B4-BE49-F238E27FC236}">
                    <a16:creationId xmlns:a16="http://schemas.microsoft.com/office/drawing/2014/main" id="{00000000-0008-0000-0A00-0000D9020000}"/>
                  </a:ext>
                </a:extLst>
              </xdr:cNvPr>
              <xdr:cNvGrpSpPr/>
            </xdr:nvGrpSpPr>
            <xdr:grpSpPr>
              <a:xfrm>
                <a:off x="14765995" y="15204109"/>
                <a:ext cx="2165688" cy="739441"/>
                <a:chOff x="28351843" y="12458683"/>
                <a:chExt cx="2168635" cy="726638"/>
              </a:xfrm>
            </xdr:grpSpPr>
            <xdr:sp macro="" textlink="">
              <xdr:nvSpPr>
                <xdr:cNvPr id="734" name="Cheurón 733">
                  <a:extLst>
                    <a:ext uri="{FF2B5EF4-FFF2-40B4-BE49-F238E27FC236}">
                      <a16:creationId xmlns:a16="http://schemas.microsoft.com/office/drawing/2014/main" id="{00000000-0008-0000-0A00-0000DE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35" name="CuadroTexto 734">
                  <a:extLst>
                    <a:ext uri="{FF2B5EF4-FFF2-40B4-BE49-F238E27FC236}">
                      <a16:creationId xmlns:a16="http://schemas.microsoft.com/office/drawing/2014/main" id="{00000000-0008-0000-0A00-0000DF020000}"/>
                    </a:ext>
                  </a:extLst>
                </xdr:cNvPr>
                <xdr:cNvSpPr txBox="1"/>
              </xdr:nvSpPr>
              <xdr:spPr>
                <a:xfrm>
                  <a:off x="28455857"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FINANCIERA</a:t>
                  </a:r>
                </a:p>
              </xdr:txBody>
            </xdr:sp>
            <xdr:sp macro="" textlink="$P$21">
              <xdr:nvSpPr>
                <xdr:cNvPr id="736" name="Rectángulo redondeado 735">
                  <a:extLst>
                    <a:ext uri="{FF2B5EF4-FFF2-40B4-BE49-F238E27FC236}">
                      <a16:creationId xmlns:a16="http://schemas.microsoft.com/office/drawing/2014/main" id="{00000000-0008-0000-0A00-0000E0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E966221-3B11-4863-B8C4-9B9AC1257276}" type="TxLink">
                    <a:rPr lang="en-US" sz="1600" b="1" i="0" u="none" strike="noStrike">
                      <a:solidFill>
                        <a:srgbClr val="FFFF00"/>
                      </a:solidFill>
                      <a:latin typeface="Century Gothic"/>
                    </a:rPr>
                    <a:pPr algn="ctr"/>
                    <a:t>7,7%</a:t>
                  </a:fld>
                  <a:endParaRPr lang="es-CO" sz="4800">
                    <a:solidFill>
                      <a:srgbClr val="FFFF00"/>
                    </a:solidFill>
                  </a:endParaRPr>
                </a:p>
              </xdr:txBody>
            </xdr:sp>
          </xdr:grpSp>
          <xdr:grpSp>
            <xdr:nvGrpSpPr>
              <xdr:cNvPr id="730" name="Grupo 729">
                <a:extLst>
                  <a:ext uri="{FF2B5EF4-FFF2-40B4-BE49-F238E27FC236}">
                    <a16:creationId xmlns:a16="http://schemas.microsoft.com/office/drawing/2014/main" id="{00000000-0008-0000-0A00-0000DA020000}"/>
                  </a:ext>
                </a:extLst>
              </xdr:cNvPr>
              <xdr:cNvGrpSpPr/>
            </xdr:nvGrpSpPr>
            <xdr:grpSpPr>
              <a:xfrm>
                <a:off x="15974404" y="15663123"/>
                <a:ext cx="825525" cy="284308"/>
                <a:chOff x="15991722" y="15768329"/>
                <a:chExt cx="825525" cy="284308"/>
              </a:xfrm>
            </xdr:grpSpPr>
            <xdr:sp macro="" textlink="">
              <xdr:nvSpPr>
                <xdr:cNvPr id="731" name="CuadroTexto 730">
                  <a:extLst>
                    <a:ext uri="{FF2B5EF4-FFF2-40B4-BE49-F238E27FC236}">
                      <a16:creationId xmlns:a16="http://schemas.microsoft.com/office/drawing/2014/main" id="{00000000-0008-0000-0A00-0000DB020000}"/>
                    </a:ext>
                  </a:extLst>
                </xdr:cNvPr>
                <xdr:cNvSpPr txBox="1"/>
              </xdr:nvSpPr>
              <xdr:spPr>
                <a:xfrm>
                  <a:off x="15991722" y="1576832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1">
              <xdr:nvSpPr>
                <xdr:cNvPr id="732" name="Rectángulo 731">
                  <a:extLst>
                    <a:ext uri="{FF2B5EF4-FFF2-40B4-BE49-F238E27FC236}">
                      <a16:creationId xmlns:a16="http://schemas.microsoft.com/office/drawing/2014/main" id="{00000000-0008-0000-0A00-0000DC020000}"/>
                    </a:ext>
                  </a:extLst>
                </xdr:cNvPr>
                <xdr:cNvSpPr/>
              </xdr:nvSpPr>
              <xdr:spPr>
                <a:xfrm>
                  <a:off x="16039588" y="15776783"/>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B93EBFC-A428-4C3D-803C-317481E55B3D}" type="TxLink">
                    <a:rPr lang="en-US" sz="1100" b="1" i="0" u="none" strike="noStrike">
                      <a:solidFill>
                        <a:srgbClr val="FFFF00"/>
                      </a:solidFill>
                      <a:latin typeface="Century Gothic"/>
                    </a:rPr>
                    <a:pPr algn="ctr"/>
                    <a:t>2</a:t>
                  </a:fld>
                  <a:endParaRPr lang="es-CO" sz="1100" b="1">
                    <a:solidFill>
                      <a:srgbClr val="FFFF00"/>
                    </a:solidFill>
                  </a:endParaRPr>
                </a:p>
              </xdr:txBody>
            </xdr:sp>
            <xdr:sp macro="" textlink="$V$21">
              <xdr:nvSpPr>
                <xdr:cNvPr id="733" name="Rectángulo 732">
                  <a:extLst>
                    <a:ext uri="{FF2B5EF4-FFF2-40B4-BE49-F238E27FC236}">
                      <a16:creationId xmlns:a16="http://schemas.microsoft.com/office/drawing/2014/main" id="{00000000-0008-0000-0A00-0000DD020000}"/>
                    </a:ext>
                  </a:extLst>
                </xdr:cNvPr>
                <xdr:cNvSpPr/>
              </xdr:nvSpPr>
              <xdr:spPr>
                <a:xfrm>
                  <a:off x="16325584" y="15776783"/>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16DAEF97-4ABF-48FB-BFEB-945B1432BD02}" type="TxLink">
                    <a:rPr lang="en-US" sz="1100" b="1" i="0" u="none" strike="noStrike">
                      <a:solidFill>
                        <a:srgbClr val="FFFF00"/>
                      </a:solidFill>
                      <a:latin typeface="Century Gothic"/>
                    </a:rPr>
                    <a:pPr algn="ctr"/>
                    <a:t>26</a:t>
                  </a:fld>
                  <a:endParaRPr lang="es-CO" sz="1100" b="1">
                    <a:solidFill>
                      <a:srgbClr val="FFFF00"/>
                    </a:solidFill>
                  </a:endParaRPr>
                </a:p>
              </xdr:txBody>
            </xdr:sp>
          </xdr:grpSp>
        </xdr:grpSp>
        <xdr:grpSp>
          <xdr:nvGrpSpPr>
            <xdr:cNvPr id="702" name="Grupo 701">
              <a:extLst>
                <a:ext uri="{FF2B5EF4-FFF2-40B4-BE49-F238E27FC236}">
                  <a16:creationId xmlns:a16="http://schemas.microsoft.com/office/drawing/2014/main" id="{00000000-0008-0000-0A00-0000BE020000}"/>
                </a:ext>
              </a:extLst>
            </xdr:cNvPr>
            <xdr:cNvGrpSpPr/>
          </xdr:nvGrpSpPr>
          <xdr:grpSpPr>
            <a:xfrm>
              <a:off x="16366116" y="14063294"/>
              <a:ext cx="2169673" cy="730012"/>
              <a:chOff x="16725472" y="15204109"/>
              <a:chExt cx="2165688" cy="743322"/>
            </a:xfrm>
          </xdr:grpSpPr>
          <xdr:grpSp>
            <xdr:nvGrpSpPr>
              <xdr:cNvPr id="721" name="Grupo 720">
                <a:extLst>
                  <a:ext uri="{FF2B5EF4-FFF2-40B4-BE49-F238E27FC236}">
                    <a16:creationId xmlns:a16="http://schemas.microsoft.com/office/drawing/2014/main" id="{00000000-0008-0000-0A00-0000D1020000}"/>
                  </a:ext>
                </a:extLst>
              </xdr:cNvPr>
              <xdr:cNvGrpSpPr/>
            </xdr:nvGrpSpPr>
            <xdr:grpSpPr>
              <a:xfrm>
                <a:off x="16725472" y="15204109"/>
                <a:ext cx="2165688" cy="739441"/>
                <a:chOff x="28351843" y="12458683"/>
                <a:chExt cx="2168635" cy="726638"/>
              </a:xfrm>
            </xdr:grpSpPr>
            <xdr:sp macro="" textlink="">
              <xdr:nvSpPr>
                <xdr:cNvPr id="726" name="Cheurón 725">
                  <a:extLst>
                    <a:ext uri="{FF2B5EF4-FFF2-40B4-BE49-F238E27FC236}">
                      <a16:creationId xmlns:a16="http://schemas.microsoft.com/office/drawing/2014/main" id="{00000000-0008-0000-0A00-0000D6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27" name="CuadroTexto 726">
                  <a:extLst>
                    <a:ext uri="{FF2B5EF4-FFF2-40B4-BE49-F238E27FC236}">
                      <a16:creationId xmlns:a16="http://schemas.microsoft.com/office/drawing/2014/main" id="{00000000-0008-0000-0A00-0000D7020000}"/>
                    </a:ext>
                  </a:extLst>
                </xdr:cNvPr>
                <xdr:cNvSpPr txBox="1"/>
              </xdr:nvSpPr>
              <xdr:spPr>
                <a:xfrm>
                  <a:off x="28452122"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CONTRATACION</a:t>
                  </a:r>
                </a:p>
              </xdr:txBody>
            </xdr:sp>
            <xdr:sp macro="" textlink="$P$22">
              <xdr:nvSpPr>
                <xdr:cNvPr id="728" name="Rectángulo redondeado 727">
                  <a:extLst>
                    <a:ext uri="{FF2B5EF4-FFF2-40B4-BE49-F238E27FC236}">
                      <a16:creationId xmlns:a16="http://schemas.microsoft.com/office/drawing/2014/main" id="{00000000-0008-0000-0A00-0000D8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DBA75A-1F7B-4D6D-B1A3-1E76502B6F2B}" type="TxLink">
                    <a:rPr lang="en-US" sz="1600" b="1" i="0" u="none" strike="noStrike">
                      <a:solidFill>
                        <a:srgbClr val="FFFF00"/>
                      </a:solidFill>
                      <a:latin typeface="Century Gothic"/>
                    </a:rPr>
                    <a:pPr algn="ctr"/>
                    <a:t>-</a:t>
                  </a:fld>
                  <a:endParaRPr lang="es-CO" sz="6000">
                    <a:solidFill>
                      <a:srgbClr val="FFFF00"/>
                    </a:solidFill>
                  </a:endParaRPr>
                </a:p>
              </xdr:txBody>
            </xdr:sp>
          </xdr:grpSp>
          <xdr:grpSp>
            <xdr:nvGrpSpPr>
              <xdr:cNvPr id="722" name="Grupo 721">
                <a:extLst>
                  <a:ext uri="{FF2B5EF4-FFF2-40B4-BE49-F238E27FC236}">
                    <a16:creationId xmlns:a16="http://schemas.microsoft.com/office/drawing/2014/main" id="{00000000-0008-0000-0A00-0000D2020000}"/>
                  </a:ext>
                </a:extLst>
              </xdr:cNvPr>
              <xdr:cNvGrpSpPr/>
            </xdr:nvGrpSpPr>
            <xdr:grpSpPr>
              <a:xfrm>
                <a:off x="17949031" y="15671577"/>
                <a:ext cx="825525" cy="275854"/>
                <a:chOff x="17966349" y="15786309"/>
                <a:chExt cx="825525" cy="275854"/>
              </a:xfrm>
            </xdr:grpSpPr>
            <xdr:sp macro="" textlink="">
              <xdr:nvSpPr>
                <xdr:cNvPr id="723" name="CuadroTexto 722">
                  <a:extLst>
                    <a:ext uri="{FF2B5EF4-FFF2-40B4-BE49-F238E27FC236}">
                      <a16:creationId xmlns:a16="http://schemas.microsoft.com/office/drawing/2014/main" id="{00000000-0008-0000-0A00-0000D3020000}"/>
                    </a:ext>
                  </a:extLst>
                </xdr:cNvPr>
                <xdr:cNvSpPr txBox="1"/>
              </xdr:nvSpPr>
              <xdr:spPr>
                <a:xfrm>
                  <a:off x="17966349" y="1578824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2">
              <xdr:nvSpPr>
                <xdr:cNvPr id="724" name="Rectángulo 723">
                  <a:extLst>
                    <a:ext uri="{FF2B5EF4-FFF2-40B4-BE49-F238E27FC236}">
                      <a16:creationId xmlns:a16="http://schemas.microsoft.com/office/drawing/2014/main" id="{00000000-0008-0000-0A00-0000D4020000}"/>
                    </a:ext>
                  </a:extLst>
                </xdr:cNvPr>
                <xdr:cNvSpPr/>
              </xdr:nvSpPr>
              <xdr:spPr>
                <a:xfrm>
                  <a:off x="18019054" y="15786309"/>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5A584B63-5A8B-4AA2-94F4-2CBA62080715}"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22">
              <xdr:nvSpPr>
                <xdr:cNvPr id="725" name="Rectángulo 724">
                  <a:extLst>
                    <a:ext uri="{FF2B5EF4-FFF2-40B4-BE49-F238E27FC236}">
                      <a16:creationId xmlns:a16="http://schemas.microsoft.com/office/drawing/2014/main" id="{00000000-0008-0000-0A00-0000D5020000}"/>
                    </a:ext>
                  </a:extLst>
                </xdr:cNvPr>
                <xdr:cNvSpPr/>
              </xdr:nvSpPr>
              <xdr:spPr>
                <a:xfrm>
                  <a:off x="18305050" y="15786309"/>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A33F892A-C5C0-40BD-9345-CC98808FE841}" type="TxLink">
                    <a:rPr lang="en-US" sz="1100" b="1" i="0" u="none" strike="noStrike">
                      <a:solidFill>
                        <a:srgbClr val="FFFF00"/>
                      </a:solidFill>
                      <a:latin typeface="Century Gothic"/>
                    </a:rPr>
                    <a:pPr algn="ctr"/>
                    <a:t>0</a:t>
                  </a:fld>
                  <a:endParaRPr lang="es-CO" sz="1100" b="1">
                    <a:solidFill>
                      <a:srgbClr val="FFFF00"/>
                    </a:solidFill>
                  </a:endParaRPr>
                </a:p>
              </xdr:txBody>
            </xdr:sp>
          </xdr:grpSp>
        </xdr:grpSp>
        <xdr:grpSp>
          <xdr:nvGrpSpPr>
            <xdr:cNvPr id="703" name="Grupo 702">
              <a:extLst>
                <a:ext uri="{FF2B5EF4-FFF2-40B4-BE49-F238E27FC236}">
                  <a16:creationId xmlns:a16="http://schemas.microsoft.com/office/drawing/2014/main" id="{00000000-0008-0000-0A00-0000BF020000}"/>
                </a:ext>
              </a:extLst>
            </xdr:cNvPr>
            <xdr:cNvGrpSpPr/>
          </xdr:nvGrpSpPr>
          <xdr:grpSpPr>
            <a:xfrm>
              <a:off x="18329207" y="14063299"/>
              <a:ext cx="2169673" cy="730012"/>
              <a:chOff x="18684957" y="15204109"/>
              <a:chExt cx="2165688" cy="743322"/>
            </a:xfrm>
          </xdr:grpSpPr>
          <xdr:grpSp>
            <xdr:nvGrpSpPr>
              <xdr:cNvPr id="713" name="Grupo 712">
                <a:extLst>
                  <a:ext uri="{FF2B5EF4-FFF2-40B4-BE49-F238E27FC236}">
                    <a16:creationId xmlns:a16="http://schemas.microsoft.com/office/drawing/2014/main" id="{00000000-0008-0000-0A00-0000C9020000}"/>
                  </a:ext>
                </a:extLst>
              </xdr:cNvPr>
              <xdr:cNvGrpSpPr/>
            </xdr:nvGrpSpPr>
            <xdr:grpSpPr>
              <a:xfrm>
                <a:off x="18684957" y="15204109"/>
                <a:ext cx="2165688" cy="739441"/>
                <a:chOff x="28351843" y="12458683"/>
                <a:chExt cx="2168635" cy="726638"/>
              </a:xfrm>
            </xdr:grpSpPr>
            <xdr:sp macro="" textlink="">
              <xdr:nvSpPr>
                <xdr:cNvPr id="718" name="Cheurón 717">
                  <a:extLst>
                    <a:ext uri="{FF2B5EF4-FFF2-40B4-BE49-F238E27FC236}">
                      <a16:creationId xmlns:a16="http://schemas.microsoft.com/office/drawing/2014/main" id="{00000000-0008-0000-0A00-0000CE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19" name="CuadroTexto 718">
                  <a:extLst>
                    <a:ext uri="{FF2B5EF4-FFF2-40B4-BE49-F238E27FC236}">
                      <a16:creationId xmlns:a16="http://schemas.microsoft.com/office/drawing/2014/main" id="{00000000-0008-0000-0A00-0000CF020000}"/>
                    </a:ext>
                  </a:extLst>
                </xdr:cNvPr>
                <xdr:cNvSpPr txBox="1"/>
              </xdr:nvSpPr>
              <xdr:spPr>
                <a:xfrm>
                  <a:off x="28461995"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LOGISTICA</a:t>
                  </a:r>
                </a:p>
              </xdr:txBody>
            </xdr:sp>
            <xdr:sp macro="" textlink="$P$23">
              <xdr:nvSpPr>
                <xdr:cNvPr id="720" name="Rectángulo redondeado 719">
                  <a:extLst>
                    <a:ext uri="{FF2B5EF4-FFF2-40B4-BE49-F238E27FC236}">
                      <a16:creationId xmlns:a16="http://schemas.microsoft.com/office/drawing/2014/main" id="{00000000-0008-0000-0A00-0000D0020000}"/>
                    </a:ext>
                  </a:extLst>
                </xdr:cNvPr>
                <xdr:cNvSpPr/>
              </xdr:nvSpPr>
              <xdr:spPr>
                <a:xfrm>
                  <a:off x="29584478"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305C079-CEBE-4CE4-A785-1EEE104D9A3F}" type="TxLink">
                    <a:rPr lang="en-US" sz="1600" b="1" i="0" u="none" strike="noStrike">
                      <a:solidFill>
                        <a:srgbClr val="FFFF00"/>
                      </a:solidFill>
                      <a:latin typeface="Century Gothic"/>
                    </a:rPr>
                    <a:pPr algn="ctr"/>
                    <a:t>0,0%</a:t>
                  </a:fld>
                  <a:endParaRPr lang="es-CO" sz="7200">
                    <a:solidFill>
                      <a:srgbClr val="FFFF00"/>
                    </a:solidFill>
                  </a:endParaRPr>
                </a:p>
              </xdr:txBody>
            </xdr:sp>
          </xdr:grpSp>
          <xdr:grpSp>
            <xdr:nvGrpSpPr>
              <xdr:cNvPr id="714" name="Grupo 713">
                <a:extLst>
                  <a:ext uri="{FF2B5EF4-FFF2-40B4-BE49-F238E27FC236}">
                    <a16:creationId xmlns:a16="http://schemas.microsoft.com/office/drawing/2014/main" id="{00000000-0008-0000-0A00-0000CA020000}"/>
                  </a:ext>
                </a:extLst>
              </xdr:cNvPr>
              <xdr:cNvGrpSpPr/>
            </xdr:nvGrpSpPr>
            <xdr:grpSpPr>
              <a:xfrm>
                <a:off x="19902520" y="15671577"/>
                <a:ext cx="825525" cy="275854"/>
                <a:chOff x="19911179" y="15782847"/>
                <a:chExt cx="825525" cy="275854"/>
              </a:xfrm>
            </xdr:grpSpPr>
            <xdr:sp macro="" textlink="">
              <xdr:nvSpPr>
                <xdr:cNvPr id="715" name="CuadroTexto 714">
                  <a:extLst>
                    <a:ext uri="{FF2B5EF4-FFF2-40B4-BE49-F238E27FC236}">
                      <a16:creationId xmlns:a16="http://schemas.microsoft.com/office/drawing/2014/main" id="{00000000-0008-0000-0A00-0000CB020000}"/>
                    </a:ext>
                  </a:extLst>
                </xdr:cNvPr>
                <xdr:cNvSpPr txBox="1"/>
              </xdr:nvSpPr>
              <xdr:spPr>
                <a:xfrm>
                  <a:off x="19911179" y="15784778"/>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3">
              <xdr:nvSpPr>
                <xdr:cNvPr id="716" name="Rectángulo 715">
                  <a:extLst>
                    <a:ext uri="{FF2B5EF4-FFF2-40B4-BE49-F238E27FC236}">
                      <a16:creationId xmlns:a16="http://schemas.microsoft.com/office/drawing/2014/main" id="{00000000-0008-0000-0A00-0000CC020000}"/>
                    </a:ext>
                  </a:extLst>
                </xdr:cNvPr>
                <xdr:cNvSpPr/>
              </xdr:nvSpPr>
              <xdr:spPr>
                <a:xfrm>
                  <a:off x="19963884" y="15782847"/>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A417C47E-5094-47EE-B575-18F63F53B713}"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23">
              <xdr:nvSpPr>
                <xdr:cNvPr id="717" name="Rectángulo 716">
                  <a:extLst>
                    <a:ext uri="{FF2B5EF4-FFF2-40B4-BE49-F238E27FC236}">
                      <a16:creationId xmlns:a16="http://schemas.microsoft.com/office/drawing/2014/main" id="{00000000-0008-0000-0A00-0000CD020000}"/>
                    </a:ext>
                  </a:extLst>
                </xdr:cNvPr>
                <xdr:cNvSpPr/>
              </xdr:nvSpPr>
              <xdr:spPr>
                <a:xfrm>
                  <a:off x="20249880" y="15782847"/>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B4C3EEC1-9633-486D-AA14-3F5DF4F0FA0A}" type="TxLink">
                    <a:rPr lang="en-US" sz="1100" b="1" i="0" u="none" strike="noStrike">
                      <a:solidFill>
                        <a:srgbClr val="FFFF00"/>
                      </a:solidFill>
                      <a:latin typeface="Century Gothic"/>
                    </a:rPr>
                    <a:pPr algn="ctr"/>
                    <a:t>14</a:t>
                  </a:fld>
                  <a:endParaRPr lang="es-CO" sz="1100" b="1">
                    <a:solidFill>
                      <a:srgbClr val="FFFF00"/>
                    </a:solidFill>
                  </a:endParaRPr>
                </a:p>
              </xdr:txBody>
            </xdr:sp>
          </xdr:grpSp>
        </xdr:grpSp>
        <xdr:grpSp>
          <xdr:nvGrpSpPr>
            <xdr:cNvPr id="918" name="Grupo 917">
              <a:extLst>
                <a:ext uri="{FF2B5EF4-FFF2-40B4-BE49-F238E27FC236}">
                  <a16:creationId xmlns:a16="http://schemas.microsoft.com/office/drawing/2014/main" id="{00000000-0008-0000-0A00-000096030000}"/>
                </a:ext>
              </a:extLst>
            </xdr:cNvPr>
            <xdr:cNvGrpSpPr/>
          </xdr:nvGrpSpPr>
          <xdr:grpSpPr>
            <a:xfrm>
              <a:off x="14430259" y="14835712"/>
              <a:ext cx="2161034" cy="726200"/>
              <a:chOff x="26392196" y="14922583"/>
              <a:chExt cx="2159963" cy="753182"/>
            </a:xfrm>
          </xdr:grpSpPr>
          <xdr:grpSp>
            <xdr:nvGrpSpPr>
              <xdr:cNvPr id="696" name="Grupo 695">
                <a:extLst>
                  <a:ext uri="{FF2B5EF4-FFF2-40B4-BE49-F238E27FC236}">
                    <a16:creationId xmlns:a16="http://schemas.microsoft.com/office/drawing/2014/main" id="{00000000-0008-0000-0A00-0000B8020000}"/>
                  </a:ext>
                </a:extLst>
              </xdr:cNvPr>
              <xdr:cNvGrpSpPr/>
            </xdr:nvGrpSpPr>
            <xdr:grpSpPr>
              <a:xfrm>
                <a:off x="26392196" y="14922583"/>
                <a:ext cx="2159963" cy="753182"/>
                <a:chOff x="28351843" y="12458683"/>
                <a:chExt cx="2160000" cy="726638"/>
              </a:xfrm>
            </xdr:grpSpPr>
            <xdr:sp macro="" textlink="">
              <xdr:nvSpPr>
                <xdr:cNvPr id="751" name="Cheurón 750">
                  <a:extLst>
                    <a:ext uri="{FF2B5EF4-FFF2-40B4-BE49-F238E27FC236}">
                      <a16:creationId xmlns:a16="http://schemas.microsoft.com/office/drawing/2014/main" id="{00000000-0008-0000-0A00-0000EF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52" name="CuadroTexto 751">
                  <a:extLst>
                    <a:ext uri="{FF2B5EF4-FFF2-40B4-BE49-F238E27FC236}">
                      <a16:creationId xmlns:a16="http://schemas.microsoft.com/office/drawing/2014/main" id="{00000000-0008-0000-0A00-0000F0020000}"/>
                    </a:ext>
                  </a:extLst>
                </xdr:cNvPr>
                <xdr:cNvSpPr txBox="1"/>
              </xdr:nvSpPr>
              <xdr:spPr>
                <a:xfrm>
                  <a:off x="28400098"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SISTEMA</a:t>
                  </a:r>
                </a:p>
                <a:p>
                  <a:pPr algn="ctr"/>
                  <a:r>
                    <a:rPr lang="es-CO" sz="1100" b="1">
                      <a:solidFill>
                        <a:schemeClr val="bg1"/>
                      </a:solidFill>
                      <a:latin typeface="Century Gothic" panose="020B0502020202020204" pitchFamily="34" charset="0"/>
                    </a:rPr>
                    <a:t>INFORMACION</a:t>
                  </a:r>
                </a:p>
              </xdr:txBody>
            </xdr:sp>
            <xdr:sp macro="" textlink="$P$25">
              <xdr:nvSpPr>
                <xdr:cNvPr id="753" name="Rectángulo redondeado 752">
                  <a:extLst>
                    <a:ext uri="{FF2B5EF4-FFF2-40B4-BE49-F238E27FC236}">
                      <a16:creationId xmlns:a16="http://schemas.microsoft.com/office/drawing/2014/main" id="{00000000-0008-0000-0A00-0000F1020000}"/>
                    </a:ext>
                  </a:extLst>
                </xdr:cNvPr>
                <xdr:cNvSpPr/>
              </xdr:nvSpPr>
              <xdr:spPr>
                <a:xfrm>
                  <a:off x="29553530" y="1257393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D09B62B-8EF6-46C8-B191-D836F2BE96B4}" type="TxLink">
                    <a:rPr lang="en-US" sz="1600" b="1" i="0" u="none" strike="noStrike">
                      <a:solidFill>
                        <a:srgbClr val="FFFF00"/>
                      </a:solidFill>
                      <a:latin typeface="Century Gothic"/>
                    </a:rPr>
                    <a:pPr algn="ctr"/>
                    <a:t>-</a:t>
                  </a:fld>
                  <a:endParaRPr lang="es-CO" sz="4800">
                    <a:solidFill>
                      <a:srgbClr val="FFFF00"/>
                    </a:solidFill>
                  </a:endParaRPr>
                </a:p>
              </xdr:txBody>
            </xdr:sp>
          </xdr:grpSp>
          <xdr:grpSp>
            <xdr:nvGrpSpPr>
              <xdr:cNvPr id="902" name="Grupo 901">
                <a:extLst>
                  <a:ext uri="{FF2B5EF4-FFF2-40B4-BE49-F238E27FC236}">
                    <a16:creationId xmlns:a16="http://schemas.microsoft.com/office/drawing/2014/main" id="{00000000-0008-0000-0A00-000086030000}"/>
                  </a:ext>
                </a:extLst>
              </xdr:cNvPr>
              <xdr:cNvGrpSpPr/>
            </xdr:nvGrpSpPr>
            <xdr:grpSpPr>
              <a:xfrm>
                <a:off x="27609415" y="15334072"/>
                <a:ext cx="826634" cy="289589"/>
                <a:chOff x="21838689" y="15779592"/>
                <a:chExt cx="825525" cy="284306"/>
              </a:xfrm>
            </xdr:grpSpPr>
            <xdr:sp macro="" textlink="">
              <xdr:nvSpPr>
                <xdr:cNvPr id="903" name="CuadroTexto 902">
                  <a:extLst>
                    <a:ext uri="{FF2B5EF4-FFF2-40B4-BE49-F238E27FC236}">
                      <a16:creationId xmlns:a16="http://schemas.microsoft.com/office/drawing/2014/main" id="{00000000-0008-0000-0A00-000087030000}"/>
                    </a:ext>
                  </a:extLst>
                </xdr:cNvPr>
                <xdr:cNvSpPr txBox="1"/>
              </xdr:nvSpPr>
              <xdr:spPr>
                <a:xfrm>
                  <a:off x="21838689" y="15779592"/>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5">
              <xdr:nvSpPr>
                <xdr:cNvPr id="904" name="Rectángulo 903">
                  <a:extLst>
                    <a:ext uri="{FF2B5EF4-FFF2-40B4-BE49-F238E27FC236}">
                      <a16:creationId xmlns:a16="http://schemas.microsoft.com/office/drawing/2014/main" id="{00000000-0008-0000-0A00-00008803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5D5C22F-28A6-496D-B4EF-9DE41592CA26}" type="TxLink">
                    <a:rPr lang="en-US" sz="1100" b="1" i="0" u="none" strike="noStrike">
                      <a:solidFill>
                        <a:srgbClr val="FFFF00"/>
                      </a:solidFill>
                      <a:latin typeface="Century Gothic"/>
                    </a:rPr>
                    <a:pPr algn="ctr"/>
                    <a:t>0</a:t>
                  </a:fld>
                  <a:endParaRPr lang="es-CO" sz="1100" b="1">
                    <a:solidFill>
                      <a:srgbClr val="FFFF00"/>
                    </a:solidFill>
                  </a:endParaRPr>
                </a:p>
              </xdr:txBody>
            </xdr:sp>
            <xdr:sp macro="" textlink="$V$25">
              <xdr:nvSpPr>
                <xdr:cNvPr id="905" name="Rectángulo 904">
                  <a:extLst>
                    <a:ext uri="{FF2B5EF4-FFF2-40B4-BE49-F238E27FC236}">
                      <a16:creationId xmlns:a16="http://schemas.microsoft.com/office/drawing/2014/main" id="{00000000-0008-0000-0A00-00008903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A58479EF-E72C-44FD-AD1D-7B53F2A3DC9F}" type="TxLink">
                    <a:rPr lang="en-US" sz="1100" b="1" i="0" u="none" strike="noStrike">
                      <a:solidFill>
                        <a:srgbClr val="FFFF00"/>
                      </a:solidFill>
                      <a:latin typeface="Century Gothic"/>
                    </a:rPr>
                    <a:pPr algn="ctr"/>
                    <a:t>0</a:t>
                  </a:fld>
                  <a:endParaRPr lang="es-CO" sz="1100" b="1">
                    <a:solidFill>
                      <a:srgbClr val="FFFF00"/>
                    </a:solidFill>
                  </a:endParaRPr>
                </a:p>
              </xdr:txBody>
            </xdr:sp>
          </xdr:grpSp>
        </xdr:grpSp>
        <xdr:grpSp>
          <xdr:nvGrpSpPr>
            <xdr:cNvPr id="919" name="Grupo 918">
              <a:extLst>
                <a:ext uri="{FF2B5EF4-FFF2-40B4-BE49-F238E27FC236}">
                  <a16:creationId xmlns:a16="http://schemas.microsoft.com/office/drawing/2014/main" id="{00000000-0008-0000-0A00-000097030000}"/>
                </a:ext>
              </a:extLst>
            </xdr:cNvPr>
            <xdr:cNvGrpSpPr/>
          </xdr:nvGrpSpPr>
          <xdr:grpSpPr>
            <a:xfrm>
              <a:off x="16379735" y="14838435"/>
              <a:ext cx="2161034" cy="726200"/>
              <a:chOff x="28340706" y="14925407"/>
              <a:chExt cx="2159963" cy="753182"/>
            </a:xfrm>
          </xdr:grpSpPr>
          <xdr:grpSp>
            <xdr:nvGrpSpPr>
              <xdr:cNvPr id="697" name="Grupo 696">
                <a:extLst>
                  <a:ext uri="{FF2B5EF4-FFF2-40B4-BE49-F238E27FC236}">
                    <a16:creationId xmlns:a16="http://schemas.microsoft.com/office/drawing/2014/main" id="{00000000-0008-0000-0A00-0000B9020000}"/>
                  </a:ext>
                </a:extLst>
              </xdr:cNvPr>
              <xdr:cNvGrpSpPr/>
            </xdr:nvGrpSpPr>
            <xdr:grpSpPr>
              <a:xfrm>
                <a:off x="28340706" y="14925407"/>
                <a:ext cx="2159963" cy="753182"/>
                <a:chOff x="28351843" y="12458683"/>
                <a:chExt cx="2160000" cy="726638"/>
              </a:xfrm>
            </xdr:grpSpPr>
            <xdr:sp macro="" textlink="">
              <xdr:nvSpPr>
                <xdr:cNvPr id="748" name="Cheurón 747">
                  <a:extLst>
                    <a:ext uri="{FF2B5EF4-FFF2-40B4-BE49-F238E27FC236}">
                      <a16:creationId xmlns:a16="http://schemas.microsoft.com/office/drawing/2014/main" id="{00000000-0008-0000-0A00-0000EC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49" name="CuadroTexto 748">
                  <a:extLst>
                    <a:ext uri="{FF2B5EF4-FFF2-40B4-BE49-F238E27FC236}">
                      <a16:creationId xmlns:a16="http://schemas.microsoft.com/office/drawing/2014/main" id="{00000000-0008-0000-0A00-0000ED020000}"/>
                    </a:ext>
                  </a:extLst>
                </xdr:cNvPr>
                <xdr:cNvSpPr txBox="1"/>
              </xdr:nvSpPr>
              <xdr:spPr>
                <a:xfrm>
                  <a:off x="28421174"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DOCUMENTAL</a:t>
                  </a:r>
                </a:p>
              </xdr:txBody>
            </xdr:sp>
            <xdr:sp macro="" textlink="$P$26">
              <xdr:nvSpPr>
                <xdr:cNvPr id="750" name="Rectángulo redondeado 749">
                  <a:extLst>
                    <a:ext uri="{FF2B5EF4-FFF2-40B4-BE49-F238E27FC236}">
                      <a16:creationId xmlns:a16="http://schemas.microsoft.com/office/drawing/2014/main" id="{00000000-0008-0000-0A00-0000EE020000}"/>
                    </a:ext>
                  </a:extLst>
                </xdr:cNvPr>
                <xdr:cNvSpPr/>
              </xdr:nvSpPr>
              <xdr:spPr>
                <a:xfrm>
                  <a:off x="29539922" y="1256542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4D7F0D4-E60E-4C48-AC44-54CDA71F0EE6}" type="TxLink">
                    <a:rPr lang="en-US" sz="1600" b="1" i="0" u="none" strike="noStrike">
                      <a:solidFill>
                        <a:srgbClr val="FFFF00"/>
                      </a:solidFill>
                      <a:latin typeface="Century Gothic"/>
                    </a:rPr>
                    <a:pPr algn="ctr"/>
                    <a:t>21,7%</a:t>
                  </a:fld>
                  <a:endParaRPr lang="es-CO" sz="6000">
                    <a:solidFill>
                      <a:srgbClr val="FFFF00"/>
                    </a:solidFill>
                  </a:endParaRPr>
                </a:p>
              </xdr:txBody>
            </xdr:sp>
          </xdr:grpSp>
          <xdr:grpSp>
            <xdr:nvGrpSpPr>
              <xdr:cNvPr id="906" name="Grupo 905">
                <a:extLst>
                  <a:ext uri="{FF2B5EF4-FFF2-40B4-BE49-F238E27FC236}">
                    <a16:creationId xmlns:a16="http://schemas.microsoft.com/office/drawing/2014/main" id="{00000000-0008-0000-0A00-00008A030000}"/>
                  </a:ext>
                </a:extLst>
              </xdr:cNvPr>
              <xdr:cNvGrpSpPr/>
            </xdr:nvGrpSpPr>
            <xdr:grpSpPr>
              <a:xfrm>
                <a:off x="29592724" y="15346919"/>
                <a:ext cx="826634" cy="280980"/>
                <a:chOff x="21838689" y="15788044"/>
                <a:chExt cx="825525" cy="275854"/>
              </a:xfrm>
            </xdr:grpSpPr>
            <xdr:sp macro="" textlink="">
              <xdr:nvSpPr>
                <xdr:cNvPr id="907" name="CuadroTexto 906">
                  <a:extLst>
                    <a:ext uri="{FF2B5EF4-FFF2-40B4-BE49-F238E27FC236}">
                      <a16:creationId xmlns:a16="http://schemas.microsoft.com/office/drawing/2014/main" id="{00000000-0008-0000-0A00-00008B030000}"/>
                    </a:ext>
                  </a:extLst>
                </xdr:cNvPr>
                <xdr:cNvSpPr txBox="1"/>
              </xdr:nvSpPr>
              <xdr:spPr>
                <a:xfrm>
                  <a:off x="21838689" y="15789979"/>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6">
              <xdr:nvSpPr>
                <xdr:cNvPr id="908" name="Rectángulo 907">
                  <a:extLst>
                    <a:ext uri="{FF2B5EF4-FFF2-40B4-BE49-F238E27FC236}">
                      <a16:creationId xmlns:a16="http://schemas.microsoft.com/office/drawing/2014/main" id="{00000000-0008-0000-0A00-00008C03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09BDD05E-AB19-4DBA-9CBB-D578AD9F02EB}" type="TxLink">
                    <a:rPr lang="en-US" sz="1100" b="1" i="0" u="none" strike="noStrike">
                      <a:solidFill>
                        <a:srgbClr val="FFFF00"/>
                      </a:solidFill>
                      <a:latin typeface="Century Gothic"/>
                    </a:rPr>
                    <a:pPr algn="ctr"/>
                    <a:t>5</a:t>
                  </a:fld>
                  <a:endParaRPr lang="es-CO" sz="1100" b="1">
                    <a:solidFill>
                      <a:srgbClr val="FFFF00"/>
                    </a:solidFill>
                  </a:endParaRPr>
                </a:p>
              </xdr:txBody>
            </xdr:sp>
            <xdr:sp macro="" textlink="$V$26">
              <xdr:nvSpPr>
                <xdr:cNvPr id="909" name="Rectángulo 908">
                  <a:extLst>
                    <a:ext uri="{FF2B5EF4-FFF2-40B4-BE49-F238E27FC236}">
                      <a16:creationId xmlns:a16="http://schemas.microsoft.com/office/drawing/2014/main" id="{00000000-0008-0000-0A00-00008D03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BEFF4986-A2CB-4AE6-90A8-BC6962D64BB3}" type="TxLink">
                    <a:rPr lang="en-US" sz="1100" b="1" i="0" u="none" strike="noStrike">
                      <a:solidFill>
                        <a:srgbClr val="FFFF00"/>
                      </a:solidFill>
                      <a:latin typeface="Century Gothic"/>
                    </a:rPr>
                    <a:pPr algn="ctr"/>
                    <a:t>23</a:t>
                  </a:fld>
                  <a:endParaRPr lang="es-CO" sz="1100" b="1">
                    <a:solidFill>
                      <a:srgbClr val="FFFF00"/>
                    </a:solidFill>
                  </a:endParaRPr>
                </a:p>
              </xdr:txBody>
            </xdr:sp>
          </xdr:grpSp>
        </xdr:grpSp>
        <xdr:grpSp>
          <xdr:nvGrpSpPr>
            <xdr:cNvPr id="920" name="Grupo 919">
              <a:extLst>
                <a:ext uri="{FF2B5EF4-FFF2-40B4-BE49-F238E27FC236}">
                  <a16:creationId xmlns:a16="http://schemas.microsoft.com/office/drawing/2014/main" id="{00000000-0008-0000-0A00-000098030000}"/>
                </a:ext>
              </a:extLst>
            </xdr:cNvPr>
            <xdr:cNvGrpSpPr/>
          </xdr:nvGrpSpPr>
          <xdr:grpSpPr>
            <a:xfrm>
              <a:off x="18342816" y="14841155"/>
              <a:ext cx="2161034" cy="726200"/>
              <a:chOff x="30302815" y="14928228"/>
              <a:chExt cx="2159963" cy="753182"/>
            </a:xfrm>
          </xdr:grpSpPr>
          <xdr:grpSp>
            <xdr:nvGrpSpPr>
              <xdr:cNvPr id="698" name="Grupo 697">
                <a:extLst>
                  <a:ext uri="{FF2B5EF4-FFF2-40B4-BE49-F238E27FC236}">
                    <a16:creationId xmlns:a16="http://schemas.microsoft.com/office/drawing/2014/main" id="{00000000-0008-0000-0A00-0000BA020000}"/>
                  </a:ext>
                </a:extLst>
              </xdr:cNvPr>
              <xdr:cNvGrpSpPr/>
            </xdr:nvGrpSpPr>
            <xdr:grpSpPr>
              <a:xfrm>
                <a:off x="30302815" y="14928228"/>
                <a:ext cx="2159963" cy="753182"/>
                <a:chOff x="28351843" y="12458683"/>
                <a:chExt cx="2160000" cy="726638"/>
              </a:xfrm>
            </xdr:grpSpPr>
            <xdr:sp macro="" textlink="">
              <xdr:nvSpPr>
                <xdr:cNvPr id="745" name="Cheurón 744">
                  <a:extLst>
                    <a:ext uri="{FF2B5EF4-FFF2-40B4-BE49-F238E27FC236}">
                      <a16:creationId xmlns:a16="http://schemas.microsoft.com/office/drawing/2014/main" id="{00000000-0008-0000-0A00-0000E9020000}"/>
                    </a:ext>
                  </a:extLst>
                </xdr:cNvPr>
                <xdr:cNvSpPr/>
              </xdr:nvSpPr>
              <xdr:spPr>
                <a:xfrm>
                  <a:off x="28351843" y="12458683"/>
                  <a:ext cx="2160000" cy="720000"/>
                </a:xfrm>
                <a:prstGeom prst="chevron">
                  <a:avLst>
                    <a:gd name="adj" fmla="val 33720"/>
                  </a:avLst>
                </a:prstGeom>
                <a:solidFill>
                  <a:srgbClr val="0000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sp macro="" textlink="">
              <xdr:nvSpPr>
                <xdr:cNvPr id="746" name="CuadroTexto 745">
                  <a:extLst>
                    <a:ext uri="{FF2B5EF4-FFF2-40B4-BE49-F238E27FC236}">
                      <a16:creationId xmlns:a16="http://schemas.microsoft.com/office/drawing/2014/main" id="{00000000-0008-0000-0A00-0000EA020000}"/>
                    </a:ext>
                  </a:extLst>
                </xdr:cNvPr>
                <xdr:cNvSpPr txBox="1"/>
              </xdr:nvSpPr>
              <xdr:spPr>
                <a:xfrm>
                  <a:off x="28393960" y="12477750"/>
                  <a:ext cx="1411823" cy="707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b="1">
                      <a:solidFill>
                        <a:schemeClr val="bg1"/>
                      </a:solidFill>
                      <a:latin typeface="Century Gothic" panose="020B0502020202020204" pitchFamily="34" charset="0"/>
                    </a:rPr>
                    <a:t>GESTION</a:t>
                  </a:r>
                </a:p>
                <a:p>
                  <a:pPr algn="ctr"/>
                  <a:r>
                    <a:rPr lang="es-CO" sz="1100" b="1">
                      <a:solidFill>
                        <a:schemeClr val="bg1"/>
                      </a:solidFill>
                      <a:latin typeface="Century Gothic" panose="020B0502020202020204" pitchFamily="34" charset="0"/>
                    </a:rPr>
                    <a:t>CONTROL</a:t>
                  </a:r>
                </a:p>
                <a:p>
                  <a:pPr algn="ctr"/>
                  <a:r>
                    <a:rPr lang="es-CO" sz="1100" b="1">
                      <a:solidFill>
                        <a:schemeClr val="bg1"/>
                      </a:solidFill>
                      <a:latin typeface="Century Gothic" panose="020B0502020202020204" pitchFamily="34" charset="0"/>
                    </a:rPr>
                    <a:t>INTERNO DISCIP.</a:t>
                  </a:r>
                </a:p>
              </xdr:txBody>
            </xdr:sp>
            <xdr:sp macro="" textlink="$P$27">
              <xdr:nvSpPr>
                <xdr:cNvPr id="747" name="Rectángulo redondeado 746">
                  <a:extLst>
                    <a:ext uri="{FF2B5EF4-FFF2-40B4-BE49-F238E27FC236}">
                      <a16:creationId xmlns:a16="http://schemas.microsoft.com/office/drawing/2014/main" id="{00000000-0008-0000-0A00-0000EB020000}"/>
                    </a:ext>
                  </a:extLst>
                </xdr:cNvPr>
                <xdr:cNvSpPr/>
              </xdr:nvSpPr>
              <xdr:spPr>
                <a:xfrm>
                  <a:off x="29557264" y="12553513"/>
                  <a:ext cx="93600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1D5E610-4F66-48DF-B138-4A4B586539B0}" type="TxLink">
                    <a:rPr lang="en-US" sz="1600" b="1" i="0" u="none" strike="noStrike">
                      <a:solidFill>
                        <a:srgbClr val="FFFF00"/>
                      </a:solidFill>
                      <a:latin typeface="Century Gothic"/>
                    </a:rPr>
                    <a:pPr algn="ctr"/>
                    <a:t>-</a:t>
                  </a:fld>
                  <a:endParaRPr lang="es-CO" sz="7200">
                    <a:solidFill>
                      <a:srgbClr val="FFFF00"/>
                    </a:solidFill>
                  </a:endParaRPr>
                </a:p>
              </xdr:txBody>
            </xdr:sp>
          </xdr:grpSp>
          <xdr:grpSp>
            <xdr:nvGrpSpPr>
              <xdr:cNvPr id="914" name="Grupo 913">
                <a:extLst>
                  <a:ext uri="{FF2B5EF4-FFF2-40B4-BE49-F238E27FC236}">
                    <a16:creationId xmlns:a16="http://schemas.microsoft.com/office/drawing/2014/main" id="{00000000-0008-0000-0A00-000092030000}"/>
                  </a:ext>
                </a:extLst>
              </xdr:cNvPr>
              <xdr:cNvGrpSpPr/>
            </xdr:nvGrpSpPr>
            <xdr:grpSpPr>
              <a:xfrm>
                <a:off x="31523122" y="15351156"/>
                <a:ext cx="826634" cy="280980"/>
                <a:chOff x="21838689" y="15788044"/>
                <a:chExt cx="825525" cy="275854"/>
              </a:xfrm>
            </xdr:grpSpPr>
            <xdr:sp macro="" textlink="">
              <xdr:nvSpPr>
                <xdr:cNvPr id="915" name="CuadroTexto 914">
                  <a:extLst>
                    <a:ext uri="{FF2B5EF4-FFF2-40B4-BE49-F238E27FC236}">
                      <a16:creationId xmlns:a16="http://schemas.microsoft.com/office/drawing/2014/main" id="{00000000-0008-0000-0A00-000093030000}"/>
                    </a:ext>
                  </a:extLst>
                </xdr:cNvPr>
                <xdr:cNvSpPr txBox="1"/>
              </xdr:nvSpPr>
              <xdr:spPr>
                <a:xfrm>
                  <a:off x="21838689" y="15789976"/>
                  <a:ext cx="825525" cy="2719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b">
                  <a:noAutofit/>
                </a:bodyPr>
                <a:lstStyle/>
                <a:p>
                  <a:pPr algn="ctr"/>
                  <a:r>
                    <a:rPr lang="es-CO" sz="1100" i="0">
                      <a:solidFill>
                        <a:srgbClr val="FFFF00"/>
                      </a:solidFill>
                      <a:latin typeface="Century Gothic" panose="020B0502020202020204" pitchFamily="34" charset="0"/>
                    </a:rPr>
                    <a:t>(</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  </a:t>
                  </a:r>
                  <a:r>
                    <a:rPr lang="es-CO" sz="1100" i="0" baseline="0">
                      <a:solidFill>
                        <a:srgbClr val="FFFF00"/>
                      </a:solidFill>
                      <a:latin typeface="Century Gothic" panose="020B0502020202020204" pitchFamily="34" charset="0"/>
                    </a:rPr>
                    <a:t>    </a:t>
                  </a:r>
                  <a:r>
                    <a:rPr lang="es-CO" sz="1100" i="0">
                      <a:solidFill>
                        <a:srgbClr val="FFFF00"/>
                      </a:solidFill>
                      <a:latin typeface="Century Gothic" panose="020B0502020202020204" pitchFamily="34" charset="0"/>
                    </a:rPr>
                    <a:t>)</a:t>
                  </a:r>
                </a:p>
              </xdr:txBody>
            </xdr:sp>
            <xdr:sp macro="" textlink="$O$27">
              <xdr:nvSpPr>
                <xdr:cNvPr id="916" name="Rectángulo 915">
                  <a:extLst>
                    <a:ext uri="{FF2B5EF4-FFF2-40B4-BE49-F238E27FC236}">
                      <a16:creationId xmlns:a16="http://schemas.microsoft.com/office/drawing/2014/main" id="{00000000-0008-0000-0A00-000094030000}"/>
                    </a:ext>
                  </a:extLst>
                </xdr:cNvPr>
                <xdr:cNvSpPr/>
              </xdr:nvSpPr>
              <xdr:spPr>
                <a:xfrm>
                  <a:off x="21891394" y="15788044"/>
                  <a:ext cx="432000"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4DB9EAD1-39AB-47FF-A707-E41E7FC7DE05}" type="TxLink">
                    <a:rPr lang="en-US" sz="1100" b="1" i="0" u="none" strike="noStrike">
                      <a:solidFill>
                        <a:srgbClr val="FFFF00"/>
                      </a:solidFill>
                      <a:latin typeface="Century Gothic"/>
                    </a:rPr>
                    <a:pPr algn="ctr"/>
                    <a:t>-</a:t>
                  </a:fld>
                  <a:endParaRPr lang="es-CO" sz="1100" b="1">
                    <a:solidFill>
                      <a:srgbClr val="FFFF00"/>
                    </a:solidFill>
                  </a:endParaRPr>
                </a:p>
              </xdr:txBody>
            </xdr:sp>
            <xdr:sp macro="" textlink="$V$27">
              <xdr:nvSpPr>
                <xdr:cNvPr id="917" name="Rectángulo 916">
                  <a:extLst>
                    <a:ext uri="{FF2B5EF4-FFF2-40B4-BE49-F238E27FC236}">
                      <a16:creationId xmlns:a16="http://schemas.microsoft.com/office/drawing/2014/main" id="{00000000-0008-0000-0A00-000095030000}"/>
                    </a:ext>
                  </a:extLst>
                </xdr:cNvPr>
                <xdr:cNvSpPr/>
              </xdr:nvSpPr>
              <xdr:spPr>
                <a:xfrm>
                  <a:off x="22177390" y="15788044"/>
                  <a:ext cx="422475" cy="2758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fld id="{75D666B1-502E-4241-B406-F90C1AB2C48A}" type="TxLink">
                    <a:rPr lang="en-US" sz="1100" b="1" i="0" u="none" strike="noStrike">
                      <a:solidFill>
                        <a:srgbClr val="FFFF00"/>
                      </a:solidFill>
                      <a:latin typeface="Century Gothic"/>
                    </a:rPr>
                    <a:pPr algn="ctr"/>
                    <a:t>-</a:t>
                  </a:fld>
                  <a:endParaRPr lang="es-CO" sz="1100" b="1">
                    <a:solidFill>
                      <a:srgbClr val="FFFF00"/>
                    </a:solidFill>
                  </a:endParaRPr>
                </a:p>
              </xdr:txBody>
            </xdr:sp>
          </xdr:grpSp>
        </xdr:grpSp>
      </xdr:grpSp>
    </xdr:grpSp>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163285</xdr:colOff>
      <xdr:row>35</xdr:row>
      <xdr:rowOff>51959</xdr:rowOff>
    </xdr:from>
    <xdr:to>
      <xdr:col>12</xdr:col>
      <xdr:colOff>1432758</xdr:colOff>
      <xdr:row>76</xdr:row>
      <xdr:rowOff>122467</xdr:rowOff>
    </xdr:to>
    <xdr:grpSp>
      <xdr:nvGrpSpPr>
        <xdr:cNvPr id="954" name="Grupo 953"/>
        <xdr:cNvGrpSpPr/>
      </xdr:nvGrpSpPr>
      <xdr:grpSpPr>
        <a:xfrm>
          <a:off x="231018" y="5868559"/>
          <a:ext cx="11285540" cy="7360308"/>
          <a:chOff x="231321" y="9454495"/>
          <a:chExt cx="10971366" cy="8438901"/>
        </a:xfrm>
      </xdr:grpSpPr>
      <xdr:grpSp>
        <xdr:nvGrpSpPr>
          <xdr:cNvPr id="3" name="Grupo 2">
            <a:extLst>
              <a:ext uri="{FF2B5EF4-FFF2-40B4-BE49-F238E27FC236}">
                <a16:creationId xmlns:a16="http://schemas.microsoft.com/office/drawing/2014/main" id="{00000000-0008-0000-0A00-000060000000}"/>
              </a:ext>
            </a:extLst>
          </xdr:cNvPr>
          <xdr:cNvGrpSpPr/>
        </xdr:nvGrpSpPr>
        <xdr:grpSpPr>
          <a:xfrm>
            <a:off x="244927" y="9454495"/>
            <a:ext cx="10957760" cy="834729"/>
            <a:chOff x="244927" y="10477499"/>
            <a:chExt cx="10970079" cy="834728"/>
          </a:xfrm>
        </xdr:grpSpPr>
        <xdr:sp macro="" textlink="">
          <xdr:nvSpPr>
            <xdr:cNvPr id="233" name="Rectángulo 232">
              <a:extLst>
                <a:ext uri="{FF2B5EF4-FFF2-40B4-BE49-F238E27FC236}">
                  <a16:creationId xmlns:a16="http://schemas.microsoft.com/office/drawing/2014/main" id="{00000000-0008-0000-0A00-000077000000}"/>
                </a:ext>
              </a:extLst>
            </xdr:cNvPr>
            <xdr:cNvSpPr/>
          </xdr:nvSpPr>
          <xdr:spPr>
            <a:xfrm>
              <a:off x="244927" y="10477499"/>
              <a:ext cx="10011600" cy="828000"/>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tx1"/>
                  </a:solidFill>
                  <a:latin typeface="Century Gothic" panose="020B0502020202020204" pitchFamily="34" charset="0"/>
                </a:rPr>
                <a:t>PROPORCIÓN DE AUDITORÍAS CON ENFOQUE EN RIESGOS CON PLAN DE MEJORA,</a:t>
              </a:r>
              <a:r>
                <a:rPr lang="es-CO" sz="1600" b="1" baseline="0">
                  <a:solidFill>
                    <a:schemeClr val="tx1"/>
                  </a:solidFill>
                  <a:latin typeface="Century Gothic" panose="020B0502020202020204" pitchFamily="34" charset="0"/>
                </a:rPr>
                <a:t> </a:t>
              </a:r>
            </a:p>
            <a:p>
              <a:pPr algn="ctr"/>
              <a:r>
                <a:rPr lang="es-CO" sz="1600" b="1">
                  <a:solidFill>
                    <a:schemeClr val="tx1"/>
                  </a:solidFill>
                  <a:latin typeface="Century Gothic" panose="020B0502020202020204" pitchFamily="34" charset="0"/>
                </a:rPr>
                <a:t>ESE METROSALUD, 2019 - 2023</a:t>
              </a:r>
            </a:p>
          </xdr:txBody>
        </xdr:sp>
        <xdr:grpSp>
          <xdr:nvGrpSpPr>
            <xdr:cNvPr id="234" name="Grupo 233">
              <a:extLst>
                <a:ext uri="{FF2B5EF4-FFF2-40B4-BE49-F238E27FC236}">
                  <a16:creationId xmlns:a16="http://schemas.microsoft.com/office/drawing/2014/main" id="{00000000-0008-0000-0A00-00005F000000}"/>
                </a:ext>
              </a:extLst>
            </xdr:cNvPr>
            <xdr:cNvGrpSpPr/>
          </xdr:nvGrpSpPr>
          <xdr:grpSpPr>
            <a:xfrm>
              <a:off x="10300606" y="10477499"/>
              <a:ext cx="914400" cy="834728"/>
              <a:chOff x="10300606" y="10477499"/>
              <a:chExt cx="914400" cy="834728"/>
            </a:xfrm>
          </xdr:grpSpPr>
          <xdr:sp macro="" textlink="$O$32">
            <xdr:nvSpPr>
              <xdr:cNvPr id="235" name="Rectángulo 234">
                <a:extLst>
                  <a:ext uri="{FF2B5EF4-FFF2-40B4-BE49-F238E27FC236}">
                    <a16:creationId xmlns:a16="http://schemas.microsoft.com/office/drawing/2014/main" id="{00000000-0008-0000-0A00-000076000000}"/>
                  </a:ext>
                </a:extLst>
              </xdr:cNvPr>
              <xdr:cNvSpPr/>
            </xdr:nvSpPr>
            <xdr:spPr>
              <a:xfrm>
                <a:off x="10300606" y="10477499"/>
                <a:ext cx="914400" cy="828000"/>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6ADC6A4-37EC-4CAC-A7BC-2B14B3A1D8A8}" type="TxLink">
                  <a:rPr lang="en-US" sz="2000" b="1" i="0" u="none" strike="noStrike">
                    <a:solidFill>
                      <a:srgbClr val="FF0000"/>
                    </a:solidFill>
                    <a:latin typeface="Century Gothic"/>
                  </a:rPr>
                  <a:pPr algn="ctr"/>
                  <a:t>47,1%</a:t>
                </a:fld>
                <a:endParaRPr lang="es-CO" sz="3600">
                  <a:solidFill>
                    <a:srgbClr val="FF0000"/>
                  </a:solidFill>
                </a:endParaRPr>
              </a:p>
            </xdr:txBody>
          </xdr:sp>
          <xdr:grpSp>
            <xdr:nvGrpSpPr>
              <xdr:cNvPr id="236" name="Grupo 235">
                <a:extLst>
                  <a:ext uri="{FF2B5EF4-FFF2-40B4-BE49-F238E27FC236}">
                    <a16:creationId xmlns:a16="http://schemas.microsoft.com/office/drawing/2014/main" id="{00000000-0008-0000-0A00-00000E000000}"/>
                  </a:ext>
                </a:extLst>
              </xdr:cNvPr>
              <xdr:cNvGrpSpPr/>
            </xdr:nvGrpSpPr>
            <xdr:grpSpPr>
              <a:xfrm>
                <a:off x="10366809" y="11031872"/>
                <a:ext cx="770852" cy="280355"/>
                <a:chOff x="10380416" y="11031872"/>
                <a:chExt cx="770852" cy="280355"/>
              </a:xfrm>
            </xdr:grpSpPr>
            <xdr:sp macro="" textlink="$N$32">
              <xdr:nvSpPr>
                <xdr:cNvPr id="237" name="Rectángulo 236">
                  <a:extLst>
                    <a:ext uri="{FF2B5EF4-FFF2-40B4-BE49-F238E27FC236}">
                      <a16:creationId xmlns:a16="http://schemas.microsoft.com/office/drawing/2014/main" id="{00000000-0008-0000-0A00-00000A000000}"/>
                    </a:ext>
                  </a:extLst>
                </xdr:cNvPr>
                <xdr:cNvSpPr/>
              </xdr:nvSpPr>
              <xdr:spPr>
                <a:xfrm>
                  <a:off x="10408548"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3CD5905-36B8-4149-9E82-A286585D49F8}" type="TxLink">
                    <a:rPr lang="en-US" sz="1100" b="1" i="0" u="none" strike="noStrike">
                      <a:solidFill>
                        <a:srgbClr val="FF0000"/>
                      </a:solidFill>
                      <a:latin typeface="Century Gothic"/>
                    </a:rPr>
                    <a:pPr algn="ctr"/>
                    <a:t>40</a:t>
                  </a:fld>
                  <a:endParaRPr lang="es-CO" sz="1100">
                    <a:solidFill>
                      <a:srgbClr val="FF0000"/>
                    </a:solidFill>
                  </a:endParaRPr>
                </a:p>
              </xdr:txBody>
            </xdr:sp>
            <xdr:sp macro="" textlink="">
              <xdr:nvSpPr>
                <xdr:cNvPr id="238" name="CuadroTexto 237">
                  <a:extLst>
                    <a:ext uri="{FF2B5EF4-FFF2-40B4-BE49-F238E27FC236}">
                      <a16:creationId xmlns:a16="http://schemas.microsoft.com/office/drawing/2014/main" id="{00000000-0008-0000-0A00-00000B000000}"/>
                    </a:ext>
                  </a:extLst>
                </xdr:cNvPr>
                <xdr:cNvSpPr txBox="1"/>
              </xdr:nvSpPr>
              <xdr:spPr>
                <a:xfrm>
                  <a:off x="10380416" y="1103187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sp macro="" textlink="$L$32">
              <xdr:nvSpPr>
                <xdr:cNvPr id="239" name="Rectángulo 238">
                  <a:extLst>
                    <a:ext uri="{FF2B5EF4-FFF2-40B4-BE49-F238E27FC236}">
                      <a16:creationId xmlns:a16="http://schemas.microsoft.com/office/drawing/2014/main" id="{00000000-0008-0000-0A00-00002A010000}"/>
                    </a:ext>
                  </a:extLst>
                </xdr:cNvPr>
                <xdr:cNvSpPr/>
              </xdr:nvSpPr>
              <xdr:spPr>
                <a:xfrm>
                  <a:off x="10697935" y="110400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C9C6B0-CB03-49F6-9FE9-A14FD43C86A1}" type="TxLink">
                    <a:rPr lang="en-US" sz="1100" b="1" i="0" u="none" strike="noStrike">
                      <a:solidFill>
                        <a:srgbClr val="FF0000"/>
                      </a:solidFill>
                      <a:latin typeface="Century Gothic"/>
                    </a:rPr>
                    <a:pPr algn="ctr"/>
                    <a:t>85</a:t>
                  </a:fld>
                  <a:endParaRPr lang="es-CO" sz="1100">
                    <a:solidFill>
                      <a:srgbClr val="FF0000"/>
                    </a:solidFill>
                  </a:endParaRPr>
                </a:p>
              </xdr:txBody>
            </xdr:sp>
          </xdr:grpSp>
        </xdr:grpSp>
      </xdr:grpSp>
      <xdr:grpSp>
        <xdr:nvGrpSpPr>
          <xdr:cNvPr id="833" name="Grupo 832"/>
          <xdr:cNvGrpSpPr/>
        </xdr:nvGrpSpPr>
        <xdr:grpSpPr>
          <a:xfrm>
            <a:off x="231321" y="10395861"/>
            <a:ext cx="10967358" cy="7497535"/>
            <a:chOff x="231321" y="10395861"/>
            <a:chExt cx="10967358" cy="7497535"/>
          </a:xfrm>
        </xdr:grpSpPr>
        <xdr:sp macro="" textlink="">
          <xdr:nvSpPr>
            <xdr:cNvPr id="743" name="Rectángulo redondeado 742">
              <a:extLst>
                <a:ext uri="{FF2B5EF4-FFF2-40B4-BE49-F238E27FC236}">
                  <a16:creationId xmlns:a16="http://schemas.microsoft.com/office/drawing/2014/main" id="{00000000-0008-0000-0A00-0000B0000000}"/>
                </a:ext>
              </a:extLst>
            </xdr:cNvPr>
            <xdr:cNvSpPr/>
          </xdr:nvSpPr>
          <xdr:spPr>
            <a:xfrm>
              <a:off x="231321" y="10395861"/>
              <a:ext cx="10967358" cy="7497535"/>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32" name="Grupo 831"/>
            <xdr:cNvGrpSpPr/>
          </xdr:nvGrpSpPr>
          <xdr:grpSpPr>
            <a:xfrm>
              <a:off x="581921" y="10491105"/>
              <a:ext cx="10172289" cy="7102932"/>
              <a:chOff x="364207" y="18383247"/>
              <a:chExt cx="10172289" cy="7102932"/>
            </a:xfrm>
          </xdr:grpSpPr>
          <xdr:grpSp>
            <xdr:nvGrpSpPr>
              <xdr:cNvPr id="717" name="Grupo 716"/>
              <xdr:cNvGrpSpPr/>
            </xdr:nvGrpSpPr>
            <xdr:grpSpPr>
              <a:xfrm>
                <a:off x="1142999" y="18383250"/>
                <a:ext cx="8597623" cy="7102929"/>
                <a:chOff x="2716415" y="395589"/>
                <a:chExt cx="6808905" cy="6039795"/>
              </a:xfrm>
            </xdr:grpSpPr>
            <xdr:sp macro="" textlink="">
              <xdr:nvSpPr>
                <xdr:cNvPr id="718" name="Rectángulo redondeado 717"/>
                <xdr:cNvSpPr/>
              </xdr:nvSpPr>
              <xdr:spPr>
                <a:xfrm>
                  <a:off x="5240215" y="395589"/>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600" b="1">
                      <a:solidFill>
                        <a:srgbClr val="045F2C"/>
                      </a:solidFill>
                      <a:latin typeface="Century Gothic" panose="020B0502020202020204" pitchFamily="34" charset="0"/>
                    </a:rPr>
                    <a:t>Gerencia</a:t>
                  </a:r>
                  <a:endParaRPr lang="es-CO" sz="1600" b="1">
                    <a:solidFill>
                      <a:srgbClr val="045F2C"/>
                    </a:solidFill>
                    <a:latin typeface="Century Gothic" panose="020B0502020202020204" pitchFamily="34" charset="0"/>
                  </a:endParaRPr>
                </a:p>
              </xdr:txBody>
            </xdr:sp>
            <xdr:cxnSp macro="">
              <xdr:nvCxnSpPr>
                <xdr:cNvPr id="719" name="Conector recto 718"/>
                <xdr:cNvCxnSpPr>
                  <a:endCxn id="718" idx="2"/>
                </xdr:cNvCxnSpPr>
              </xdr:nvCxnSpPr>
              <xdr:spPr>
                <a:xfrm flipV="1">
                  <a:off x="6150218" y="1072597"/>
                  <a:ext cx="1" cy="3061168"/>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sp macro="" textlink="">
              <xdr:nvSpPr>
                <xdr:cNvPr id="720" name="Rectángulo redondeado 719"/>
                <xdr:cNvSpPr/>
              </xdr:nvSpPr>
              <xdr:spPr>
                <a:xfrm>
                  <a:off x="2716415" y="1700480"/>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Asesora de Planeación y Desarrollo Organizacional</a:t>
                  </a:r>
                  <a:endParaRPr lang="es-CO" sz="1400" b="1">
                    <a:solidFill>
                      <a:srgbClr val="045F2C"/>
                    </a:solidFill>
                    <a:latin typeface="Century Gothic" panose="020B0502020202020204" pitchFamily="34" charset="0"/>
                  </a:endParaRPr>
                </a:p>
              </xdr:txBody>
            </xdr:sp>
            <xdr:sp macro="" textlink="">
              <xdr:nvSpPr>
                <xdr:cNvPr id="721" name="Rectángulo redondeado 720"/>
                <xdr:cNvSpPr/>
              </xdr:nvSpPr>
              <xdr:spPr>
                <a:xfrm>
                  <a:off x="2716415" y="2449208"/>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Jurídica</a:t>
                  </a:r>
                  <a:endParaRPr lang="es-CO" sz="1400" b="1">
                    <a:solidFill>
                      <a:srgbClr val="045F2C"/>
                    </a:solidFill>
                    <a:latin typeface="Century Gothic" panose="020B0502020202020204" pitchFamily="34" charset="0"/>
                  </a:endParaRPr>
                </a:p>
              </xdr:txBody>
            </xdr:sp>
            <xdr:sp macro="" textlink="">
              <xdr:nvSpPr>
                <xdr:cNvPr id="722" name="Rectángulo redondeado 721"/>
                <xdr:cNvSpPr/>
              </xdr:nvSpPr>
              <xdr:spPr>
                <a:xfrm>
                  <a:off x="7545326" y="1337912"/>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de Salud Pública y Gestión Territorial</a:t>
                  </a:r>
                  <a:endParaRPr lang="es-CO" sz="1400" b="1">
                    <a:solidFill>
                      <a:srgbClr val="045F2C"/>
                    </a:solidFill>
                    <a:latin typeface="Century Gothic" panose="020B0502020202020204" pitchFamily="34" charset="0"/>
                  </a:endParaRPr>
                </a:p>
              </xdr:txBody>
            </xdr:sp>
            <xdr:sp macro="" textlink="">
              <xdr:nvSpPr>
                <xdr:cNvPr id="723" name="Rectángulo redondeado 722"/>
                <xdr:cNvSpPr/>
              </xdr:nvSpPr>
              <xdr:spPr>
                <a:xfrm>
                  <a:off x="7545326" y="2068911"/>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de Control Interno y Evaluación</a:t>
                  </a:r>
                  <a:endParaRPr lang="es-CO" sz="1400" b="1">
                    <a:solidFill>
                      <a:srgbClr val="045F2C"/>
                    </a:solidFill>
                    <a:latin typeface="Century Gothic" panose="020B0502020202020204" pitchFamily="34" charset="0"/>
                  </a:endParaRPr>
                </a:p>
              </xdr:txBody>
            </xdr:sp>
            <xdr:sp macro="" textlink="">
              <xdr:nvSpPr>
                <xdr:cNvPr id="724" name="Rectángulo redondeado 723"/>
                <xdr:cNvSpPr/>
              </xdr:nvSpPr>
              <xdr:spPr>
                <a:xfrm>
                  <a:off x="7545326" y="2799909"/>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de Control Interno Disciplinario</a:t>
                  </a:r>
                  <a:endParaRPr lang="es-CO" sz="1400" b="1">
                    <a:solidFill>
                      <a:srgbClr val="045F2C"/>
                    </a:solidFill>
                    <a:latin typeface="Century Gothic" panose="020B0502020202020204" pitchFamily="34" charset="0"/>
                  </a:endParaRPr>
                </a:p>
              </xdr:txBody>
            </xdr:sp>
            <xdr:sp macro="" textlink="">
              <xdr:nvSpPr>
                <xdr:cNvPr id="725" name="Rectángulo redondeado 724"/>
                <xdr:cNvSpPr/>
              </xdr:nvSpPr>
              <xdr:spPr>
                <a:xfrm>
                  <a:off x="3509029" y="3795875"/>
                  <a:ext cx="1440000"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Subgerencia Red de Servicios</a:t>
                  </a:r>
                  <a:endParaRPr lang="es-CO" sz="1400" b="1">
                    <a:solidFill>
                      <a:srgbClr val="045F2C"/>
                    </a:solidFill>
                    <a:latin typeface="Century Gothic" panose="020B0502020202020204" pitchFamily="34" charset="0"/>
                  </a:endParaRPr>
                </a:p>
              </xdr:txBody>
            </xdr:sp>
            <xdr:sp macro="" textlink="">
              <xdr:nvSpPr>
                <xdr:cNvPr id="726" name="Rectángulo redondeado 725"/>
                <xdr:cNvSpPr/>
              </xdr:nvSpPr>
              <xdr:spPr>
                <a:xfrm>
                  <a:off x="7327701" y="3795875"/>
                  <a:ext cx="1440000"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Subgerencia  Financiera y Administrativa</a:t>
                  </a:r>
                  <a:endParaRPr lang="es-CO" sz="1400" b="1">
                    <a:solidFill>
                      <a:srgbClr val="045F2C"/>
                    </a:solidFill>
                    <a:latin typeface="Century Gothic" panose="020B0502020202020204" pitchFamily="34" charset="0"/>
                  </a:endParaRPr>
                </a:p>
              </xdr:txBody>
            </xdr:sp>
            <xdr:sp macro="" textlink="">
              <xdr:nvSpPr>
                <xdr:cNvPr id="727" name="Rectángulo redondeado 726"/>
                <xdr:cNvSpPr/>
              </xdr:nvSpPr>
              <xdr:spPr>
                <a:xfrm>
                  <a:off x="2885721" y="4912325"/>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 de Venta de Servicios</a:t>
                  </a:r>
                  <a:endParaRPr lang="es-CO" sz="1400" b="1">
                    <a:solidFill>
                      <a:srgbClr val="045F2C"/>
                    </a:solidFill>
                    <a:latin typeface="Century Gothic" panose="020B0502020202020204" pitchFamily="34" charset="0"/>
                  </a:endParaRPr>
                </a:p>
              </xdr:txBody>
            </xdr:sp>
            <xdr:sp macro="" textlink="">
              <xdr:nvSpPr>
                <xdr:cNvPr id="728" name="Rectángulo redondeado 727"/>
                <xdr:cNvSpPr/>
              </xdr:nvSpPr>
              <xdr:spPr>
                <a:xfrm>
                  <a:off x="4315938" y="4912325"/>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a:t>
                  </a:r>
                </a:p>
                <a:p>
                  <a:pPr algn="ctr"/>
                  <a:r>
                    <a:rPr lang="es-MX" sz="1400" b="1">
                      <a:solidFill>
                        <a:srgbClr val="045F2C"/>
                      </a:solidFill>
                      <a:latin typeface="Century Gothic" panose="020B0502020202020204" pitchFamily="34" charset="0"/>
                    </a:rPr>
                    <a:t>De UPSS</a:t>
                  </a:r>
                  <a:endParaRPr lang="es-CO" sz="1400" b="1">
                    <a:solidFill>
                      <a:srgbClr val="045F2C"/>
                    </a:solidFill>
                    <a:latin typeface="Century Gothic" panose="020B0502020202020204" pitchFamily="34" charset="0"/>
                  </a:endParaRPr>
                </a:p>
              </xdr:txBody>
            </xdr:sp>
            <xdr:sp macro="" textlink="">
              <xdr:nvSpPr>
                <xdr:cNvPr id="729" name="Rectángulo redondeado 728"/>
                <xdr:cNvSpPr/>
              </xdr:nvSpPr>
              <xdr:spPr>
                <a:xfrm>
                  <a:off x="6568406" y="4912326"/>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 de</a:t>
                  </a:r>
                </a:p>
                <a:p>
                  <a:pPr algn="ctr"/>
                  <a:r>
                    <a:rPr lang="es-MX" sz="1400" b="1">
                      <a:solidFill>
                        <a:srgbClr val="045F2C"/>
                      </a:solidFill>
                      <a:latin typeface="Century Gothic" panose="020B0502020202020204" pitchFamily="34" charset="0"/>
                    </a:rPr>
                    <a:t>Sistemas de Información</a:t>
                  </a:r>
                  <a:endParaRPr lang="es-CO" sz="1400" b="1">
                    <a:solidFill>
                      <a:srgbClr val="045F2C"/>
                    </a:solidFill>
                    <a:latin typeface="Century Gothic" panose="020B0502020202020204" pitchFamily="34" charset="0"/>
                  </a:endParaRPr>
                </a:p>
              </xdr:txBody>
            </xdr:sp>
            <xdr:sp macro="" textlink="">
              <xdr:nvSpPr>
                <xdr:cNvPr id="730" name="Rectángulo redondeado 729"/>
                <xdr:cNvSpPr/>
              </xdr:nvSpPr>
              <xdr:spPr>
                <a:xfrm>
                  <a:off x="8265320" y="4912326"/>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325545"/>
                      </a:solidFill>
                      <a:latin typeface="Century Gothic" panose="020B0502020202020204" pitchFamily="34" charset="0"/>
                    </a:rPr>
                    <a:t>Dirección Administrativa</a:t>
                  </a:r>
                  <a:endParaRPr lang="es-CO" sz="1400" b="1">
                    <a:solidFill>
                      <a:srgbClr val="325545"/>
                    </a:solidFill>
                    <a:latin typeface="Century Gothic" panose="020B0502020202020204" pitchFamily="34" charset="0"/>
                  </a:endParaRPr>
                </a:p>
              </xdr:txBody>
            </xdr:sp>
            <xdr:sp macro="" textlink="">
              <xdr:nvSpPr>
                <xdr:cNvPr id="731" name="Rectángulo redondeado 730"/>
                <xdr:cNvSpPr/>
              </xdr:nvSpPr>
              <xdr:spPr>
                <a:xfrm>
                  <a:off x="6568406" y="5715384"/>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a:t>
                  </a:r>
                </a:p>
                <a:p>
                  <a:pPr algn="ctr"/>
                  <a:r>
                    <a:rPr lang="es-MX" sz="1400" b="1">
                      <a:solidFill>
                        <a:srgbClr val="045F2C"/>
                      </a:solidFill>
                      <a:latin typeface="Century Gothic" panose="020B0502020202020204" pitchFamily="34" charset="0"/>
                    </a:rPr>
                    <a:t>de Talento Humano</a:t>
                  </a:r>
                  <a:endParaRPr lang="es-CO" sz="1400" b="1">
                    <a:solidFill>
                      <a:srgbClr val="045F2C"/>
                    </a:solidFill>
                    <a:latin typeface="Century Gothic" panose="020B0502020202020204" pitchFamily="34" charset="0"/>
                  </a:endParaRPr>
                </a:p>
              </xdr:txBody>
            </xdr:sp>
            <xdr:sp macro="" textlink="">
              <xdr:nvSpPr>
                <xdr:cNvPr id="732" name="Rectángulo redondeado 731"/>
                <xdr:cNvSpPr/>
              </xdr:nvSpPr>
              <xdr:spPr>
                <a:xfrm>
                  <a:off x="8265320" y="5715384"/>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325545"/>
                      </a:solidFill>
                      <a:latin typeface="Century Gothic" panose="020B0502020202020204" pitchFamily="34" charset="0"/>
                    </a:rPr>
                    <a:t>Dirección de Contratación</a:t>
                  </a:r>
                  <a:endParaRPr lang="es-CO" sz="1400" b="1">
                    <a:solidFill>
                      <a:srgbClr val="325545"/>
                    </a:solidFill>
                    <a:latin typeface="Century Gothic" panose="020B0502020202020204" pitchFamily="34" charset="0"/>
                  </a:endParaRPr>
                </a:p>
              </xdr:txBody>
            </xdr:sp>
            <xdr:cxnSp macro="">
              <xdr:nvCxnSpPr>
                <xdr:cNvPr id="733" name="Conector recto 732"/>
                <xdr:cNvCxnSpPr>
                  <a:stCxn id="725" idx="3"/>
                  <a:endCxn id="726" idx="1"/>
                </xdr:cNvCxnSpPr>
              </xdr:nvCxnSpPr>
              <xdr:spPr>
                <a:xfrm>
                  <a:off x="4949029" y="4134379"/>
                  <a:ext cx="2378671" cy="0"/>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734" name="Conector recto 733"/>
                <xdr:cNvCxnSpPr>
                  <a:endCxn id="725" idx="2"/>
                </xdr:cNvCxnSpPr>
              </xdr:nvCxnSpPr>
              <xdr:spPr>
                <a:xfrm flipV="1">
                  <a:off x="4229029" y="4472883"/>
                  <a:ext cx="0" cy="218068"/>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735" name="Conector angular 734"/>
                <xdr:cNvCxnSpPr>
                  <a:stCxn id="720" idx="3"/>
                  <a:endCxn id="721" idx="3"/>
                </xdr:cNvCxnSpPr>
              </xdr:nvCxnSpPr>
              <xdr:spPr>
                <a:xfrm>
                  <a:off x="4536422" y="2038984"/>
                  <a:ext cx="12700" cy="748728"/>
                </a:xfrm>
                <a:prstGeom prst="bentConnector3">
                  <a:avLst>
                    <a:gd name="adj1" fmla="val 1800000"/>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736" name="Conector angular 735"/>
                <xdr:cNvCxnSpPr>
                  <a:stCxn id="722" idx="1"/>
                  <a:endCxn id="724" idx="1"/>
                </xdr:cNvCxnSpPr>
              </xdr:nvCxnSpPr>
              <xdr:spPr>
                <a:xfrm rot="10800000" flipV="1">
                  <a:off x="7545326" y="1676415"/>
                  <a:ext cx="12700" cy="1461997"/>
                </a:xfrm>
                <a:prstGeom prst="bentConnector3">
                  <a:avLst>
                    <a:gd name="adj1" fmla="val 1800000"/>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737" name="Conector recto 736"/>
                <xdr:cNvCxnSpPr>
                  <a:endCxn id="723" idx="1"/>
                </xdr:cNvCxnSpPr>
              </xdr:nvCxnSpPr>
              <xdr:spPr>
                <a:xfrm>
                  <a:off x="4774671" y="2385713"/>
                  <a:ext cx="2770655" cy="21702"/>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738" name="Conector angular 737"/>
                <xdr:cNvCxnSpPr>
                  <a:stCxn id="727" idx="0"/>
                  <a:endCxn id="728" idx="0"/>
                </xdr:cNvCxnSpPr>
              </xdr:nvCxnSpPr>
              <xdr:spPr>
                <a:xfrm rot="5400000" flipH="1" flipV="1">
                  <a:off x="4230459" y="4197217"/>
                  <a:ext cx="10799" cy="1430217"/>
                </a:xfrm>
                <a:prstGeom prst="bentConnector3">
                  <a:avLst>
                    <a:gd name="adj1" fmla="val 1800000"/>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739" name="Conector recto 738"/>
                <xdr:cNvCxnSpPr>
                  <a:stCxn id="729" idx="3"/>
                  <a:endCxn id="730" idx="1"/>
                </xdr:cNvCxnSpPr>
              </xdr:nvCxnSpPr>
              <xdr:spPr>
                <a:xfrm>
                  <a:off x="7828408" y="5272326"/>
                  <a:ext cx="436916" cy="0"/>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740" name="Conector recto 739"/>
                <xdr:cNvCxnSpPr>
                  <a:stCxn id="731" idx="3"/>
                  <a:endCxn id="732" idx="1"/>
                </xdr:cNvCxnSpPr>
              </xdr:nvCxnSpPr>
              <xdr:spPr>
                <a:xfrm>
                  <a:off x="7828406" y="6075384"/>
                  <a:ext cx="436914" cy="0"/>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741" name="Conector recto 740"/>
                <xdr:cNvCxnSpPr>
                  <a:endCxn id="726" idx="2"/>
                </xdr:cNvCxnSpPr>
              </xdr:nvCxnSpPr>
              <xdr:spPr>
                <a:xfrm flipV="1">
                  <a:off x="8047700" y="4472883"/>
                  <a:ext cx="0" cy="1598886"/>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grpSp>
          <xdr:grpSp>
            <xdr:nvGrpSpPr>
              <xdr:cNvPr id="798" name="Grupo 797"/>
              <xdr:cNvGrpSpPr/>
            </xdr:nvGrpSpPr>
            <xdr:grpSpPr>
              <a:xfrm>
                <a:off x="9601547" y="23719970"/>
                <a:ext cx="934949" cy="828000"/>
                <a:chOff x="2947350" y="18385970"/>
                <a:chExt cx="934949" cy="828000"/>
              </a:xfrm>
            </xdr:grpSpPr>
            <xdr:sp macro="" textlink="">
              <xdr:nvSpPr>
                <xdr:cNvPr id="775" name="Elipse 774"/>
                <xdr:cNvSpPr/>
              </xdr:nvSpPr>
              <xdr:spPr>
                <a:xfrm>
                  <a:off x="2955471" y="18385970"/>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15">
              <xdr:nvSpPr>
                <xdr:cNvPr id="150" name="Rectángulo redondeado 149">
                  <a:extLst>
                    <a:ext uri="{FF2B5EF4-FFF2-40B4-BE49-F238E27FC236}">
                      <a16:creationId xmlns:a16="http://schemas.microsoft.com/office/drawing/2014/main" id="{00000000-0008-0000-0A00-000028000000}"/>
                    </a:ext>
                  </a:extLst>
                </xdr:cNvPr>
                <xdr:cNvSpPr/>
              </xdr:nvSpPr>
              <xdr:spPr>
                <a:xfrm>
                  <a:off x="2947350" y="18463007"/>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B70F24-3597-455E-9881-9F670DB698A4}" type="TxLink">
                    <a:rPr lang="en-US" sz="1600" b="1" i="0" u="none" strike="noStrike">
                      <a:solidFill>
                        <a:srgbClr val="FF0000"/>
                      </a:solidFill>
                      <a:latin typeface="Century Gothic"/>
                    </a:rPr>
                    <a:pPr algn="ctr"/>
                    <a:t>33,3%</a:t>
                  </a:fld>
                  <a:endParaRPr lang="es-CO" sz="1800">
                    <a:solidFill>
                      <a:srgbClr val="FF0000"/>
                    </a:solidFill>
                  </a:endParaRPr>
                </a:p>
              </xdr:txBody>
            </xdr:sp>
            <xdr:grpSp>
              <xdr:nvGrpSpPr>
                <xdr:cNvPr id="144" name="Grupo 143">
                  <a:extLst>
                    <a:ext uri="{FF2B5EF4-FFF2-40B4-BE49-F238E27FC236}">
                      <a16:creationId xmlns:a16="http://schemas.microsoft.com/office/drawing/2014/main" id="{00000000-0008-0000-0A00-0000F2010000}"/>
                    </a:ext>
                  </a:extLst>
                </xdr:cNvPr>
                <xdr:cNvGrpSpPr/>
              </xdr:nvGrpSpPr>
              <xdr:grpSpPr>
                <a:xfrm>
                  <a:off x="2966762" y="18813550"/>
                  <a:ext cx="769986" cy="281623"/>
                  <a:chOff x="2520280" y="14325654"/>
                  <a:chExt cx="770852" cy="281623"/>
                </a:xfrm>
              </xdr:grpSpPr>
              <xdr:sp macro="" textlink="$N$15">
                <xdr:nvSpPr>
                  <xdr:cNvPr id="145" name="Rectángulo 144">
                    <a:extLst>
                      <a:ext uri="{FF2B5EF4-FFF2-40B4-BE49-F238E27FC236}">
                        <a16:creationId xmlns:a16="http://schemas.microsoft.com/office/drawing/2014/main" id="{00000000-0008-0000-0A00-000048010000}"/>
                      </a:ext>
                    </a:extLst>
                  </xdr:cNvPr>
                  <xdr:cNvSpPr/>
                </xdr:nvSpPr>
                <xdr:spPr>
                  <a:xfrm>
                    <a:off x="2544545"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952C3B7-84F3-4306-9F51-94264694E69F}" type="TxLink">
                      <a:rPr lang="en-US" sz="1100" b="1" i="0" u="none" strike="noStrike">
                        <a:solidFill>
                          <a:srgbClr val="FF0000"/>
                        </a:solidFill>
                        <a:latin typeface="Century Gothic"/>
                      </a:rPr>
                      <a:pPr algn="ctr"/>
                      <a:t>4</a:t>
                    </a:fld>
                    <a:endParaRPr lang="es-CO" sz="3200" b="1">
                      <a:solidFill>
                        <a:srgbClr val="FF0000"/>
                      </a:solidFill>
                    </a:endParaRPr>
                  </a:p>
                </xdr:txBody>
              </xdr:sp>
              <xdr:sp macro="" textlink="$L$15">
                <xdr:nvSpPr>
                  <xdr:cNvPr id="146" name="Rectángulo 145">
                    <a:extLst>
                      <a:ext uri="{FF2B5EF4-FFF2-40B4-BE49-F238E27FC236}">
                        <a16:creationId xmlns:a16="http://schemas.microsoft.com/office/drawing/2014/main" id="{00000000-0008-0000-0A00-000049010000}"/>
                      </a:ext>
                    </a:extLst>
                  </xdr:cNvPr>
                  <xdr:cNvSpPr/>
                </xdr:nvSpPr>
                <xdr:spPr>
                  <a:xfrm>
                    <a:off x="2820639"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EA17CCE-9AE6-4CFC-AAE5-A1867B0BD6C0}" type="TxLink">
                      <a:rPr lang="en-US" sz="1100" b="1" i="0" u="none" strike="noStrike">
                        <a:solidFill>
                          <a:srgbClr val="FF0000"/>
                        </a:solidFill>
                        <a:latin typeface="Century Gothic"/>
                      </a:rPr>
                      <a:pPr algn="ctr"/>
                      <a:t>12</a:t>
                    </a:fld>
                    <a:endParaRPr lang="es-CO" sz="3200" b="1">
                      <a:solidFill>
                        <a:srgbClr val="FF0000"/>
                      </a:solidFill>
                    </a:endParaRPr>
                  </a:p>
                </xdr:txBody>
              </xdr:sp>
              <xdr:sp macro="" textlink="">
                <xdr:nvSpPr>
                  <xdr:cNvPr id="147" name="CuadroTexto 146">
                    <a:extLst>
                      <a:ext uri="{FF2B5EF4-FFF2-40B4-BE49-F238E27FC236}">
                        <a16:creationId xmlns:a16="http://schemas.microsoft.com/office/drawing/2014/main" id="{00000000-0008-0000-0A00-0000F1010000}"/>
                      </a:ext>
                    </a:extLst>
                  </xdr:cNvPr>
                  <xdr:cNvSpPr txBox="1"/>
                </xdr:nvSpPr>
                <xdr:spPr>
                  <a:xfrm>
                    <a:off x="2520280" y="143256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99" name="Grupo 798"/>
              <xdr:cNvGrpSpPr/>
            </xdr:nvGrpSpPr>
            <xdr:grpSpPr>
              <a:xfrm>
                <a:off x="9560726" y="24652059"/>
                <a:ext cx="934949" cy="828000"/>
                <a:chOff x="8567707" y="17589952"/>
                <a:chExt cx="934949" cy="828000"/>
              </a:xfrm>
            </xdr:grpSpPr>
            <xdr:sp macro="" textlink="">
              <xdr:nvSpPr>
                <xdr:cNvPr id="776" name="Elipse 775"/>
                <xdr:cNvSpPr/>
              </xdr:nvSpPr>
              <xdr:spPr>
                <a:xfrm>
                  <a:off x="8629648" y="17589952"/>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16">
              <xdr:nvSpPr>
                <xdr:cNvPr id="142" name="Rectángulo redondeado 141">
                  <a:extLst>
                    <a:ext uri="{FF2B5EF4-FFF2-40B4-BE49-F238E27FC236}">
                      <a16:creationId xmlns:a16="http://schemas.microsoft.com/office/drawing/2014/main" id="{00000000-0008-0000-0A00-00002C000000}"/>
                    </a:ext>
                  </a:extLst>
                </xdr:cNvPr>
                <xdr:cNvSpPr/>
              </xdr:nvSpPr>
              <xdr:spPr>
                <a:xfrm>
                  <a:off x="8567707" y="17649301"/>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F4CC68A-A8B4-405E-BE31-4D0AEC471047}" type="TxLink">
                    <a:rPr lang="en-US" sz="1600" b="1" i="0" u="none" strike="noStrike">
                      <a:solidFill>
                        <a:srgbClr val="FF0000"/>
                      </a:solidFill>
                      <a:latin typeface="Century Gothic"/>
                    </a:rPr>
                    <a:pPr algn="ctr"/>
                    <a:t>40,0%</a:t>
                  </a:fld>
                  <a:endParaRPr lang="es-CO" sz="1800">
                    <a:solidFill>
                      <a:srgbClr val="FF0000"/>
                    </a:solidFill>
                  </a:endParaRPr>
                </a:p>
              </xdr:txBody>
            </xdr:sp>
            <xdr:grpSp>
              <xdr:nvGrpSpPr>
                <xdr:cNvPr id="136" name="Grupo 135">
                  <a:extLst>
                    <a:ext uri="{FF2B5EF4-FFF2-40B4-BE49-F238E27FC236}">
                      <a16:creationId xmlns:a16="http://schemas.microsoft.com/office/drawing/2014/main" id="{00000000-0008-0000-0A00-0000F5010000}"/>
                    </a:ext>
                  </a:extLst>
                </xdr:cNvPr>
                <xdr:cNvGrpSpPr/>
              </xdr:nvGrpSpPr>
              <xdr:grpSpPr>
                <a:xfrm>
                  <a:off x="8616479" y="18005625"/>
                  <a:ext cx="769986" cy="275845"/>
                  <a:chOff x="4471046" y="14320548"/>
                  <a:chExt cx="770852" cy="275845"/>
                </a:xfrm>
              </xdr:grpSpPr>
              <xdr:sp macro="" textlink="$N$16">
                <xdr:nvSpPr>
                  <xdr:cNvPr id="137" name="Rectángulo 136">
                    <a:extLst>
                      <a:ext uri="{FF2B5EF4-FFF2-40B4-BE49-F238E27FC236}">
                        <a16:creationId xmlns:a16="http://schemas.microsoft.com/office/drawing/2014/main" id="{00000000-0008-0000-0A00-00004A010000}"/>
                      </a:ext>
                    </a:extLst>
                  </xdr:cNvPr>
                  <xdr:cNvSpPr/>
                </xdr:nvSpPr>
                <xdr:spPr>
                  <a:xfrm>
                    <a:off x="4506693"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819823D-1A0E-43F1-92E4-21360E255D2E}" type="TxLink">
                      <a:rPr lang="en-US" sz="1100" b="1" i="0" u="none" strike="noStrike">
                        <a:solidFill>
                          <a:srgbClr val="FF0000"/>
                        </a:solidFill>
                        <a:latin typeface="Century Gothic"/>
                      </a:rPr>
                      <a:pPr algn="ctr"/>
                      <a:t>2</a:t>
                    </a:fld>
                    <a:endParaRPr lang="es-CO" sz="3600" b="1">
                      <a:solidFill>
                        <a:srgbClr val="FF0000"/>
                      </a:solidFill>
                    </a:endParaRPr>
                  </a:p>
                </xdr:txBody>
              </xdr:sp>
              <xdr:sp macro="" textlink="$L$16">
                <xdr:nvSpPr>
                  <xdr:cNvPr id="138" name="Rectángulo 137">
                    <a:extLst>
                      <a:ext uri="{FF2B5EF4-FFF2-40B4-BE49-F238E27FC236}">
                        <a16:creationId xmlns:a16="http://schemas.microsoft.com/office/drawing/2014/main" id="{00000000-0008-0000-0A00-00004B010000}"/>
                      </a:ext>
                    </a:extLst>
                  </xdr:cNvPr>
                  <xdr:cNvSpPr/>
                </xdr:nvSpPr>
                <xdr:spPr>
                  <a:xfrm>
                    <a:off x="4782787"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9A0D945-88E7-4826-936C-0D30BB0A8EAF}" type="TxLink">
                      <a:rPr lang="en-US" sz="1100" b="1" i="0" u="none" strike="noStrike">
                        <a:solidFill>
                          <a:srgbClr val="FF0000"/>
                        </a:solidFill>
                        <a:latin typeface="Century Gothic"/>
                      </a:rPr>
                      <a:pPr algn="ctr"/>
                      <a:t>5</a:t>
                    </a:fld>
                    <a:endParaRPr lang="es-CO" sz="3600" b="1">
                      <a:solidFill>
                        <a:srgbClr val="FF0000"/>
                      </a:solidFill>
                    </a:endParaRPr>
                  </a:p>
                </xdr:txBody>
              </xdr:sp>
              <xdr:sp macro="" textlink="">
                <xdr:nvSpPr>
                  <xdr:cNvPr id="139" name="CuadroTexto 138">
                    <a:extLst>
                      <a:ext uri="{FF2B5EF4-FFF2-40B4-BE49-F238E27FC236}">
                        <a16:creationId xmlns:a16="http://schemas.microsoft.com/office/drawing/2014/main" id="{00000000-0008-0000-0A00-0000F4010000}"/>
                      </a:ext>
                    </a:extLst>
                  </xdr:cNvPr>
                  <xdr:cNvSpPr txBox="1"/>
                </xdr:nvSpPr>
                <xdr:spPr>
                  <a:xfrm>
                    <a:off x="4471046" y="1432054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93" name="Grupo 792"/>
              <xdr:cNvGrpSpPr/>
            </xdr:nvGrpSpPr>
            <xdr:grpSpPr>
              <a:xfrm>
                <a:off x="1367338" y="22345650"/>
                <a:ext cx="934949" cy="828000"/>
                <a:chOff x="8715196" y="16889185"/>
                <a:chExt cx="934949" cy="828000"/>
              </a:xfrm>
            </xdr:grpSpPr>
            <xdr:sp macro="" textlink="">
              <xdr:nvSpPr>
                <xdr:cNvPr id="779" name="Elipse 778"/>
                <xdr:cNvSpPr/>
              </xdr:nvSpPr>
              <xdr:spPr>
                <a:xfrm>
                  <a:off x="8765720" y="16889185"/>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12">
              <xdr:nvSpPr>
                <xdr:cNvPr id="174" name="Rectángulo redondeado 173">
                  <a:extLst>
                    <a:ext uri="{FF2B5EF4-FFF2-40B4-BE49-F238E27FC236}">
                      <a16:creationId xmlns:a16="http://schemas.microsoft.com/office/drawing/2014/main" id="{00000000-0008-0000-0A00-00001C000000}"/>
                    </a:ext>
                  </a:extLst>
                </xdr:cNvPr>
                <xdr:cNvSpPr/>
              </xdr:nvSpPr>
              <xdr:spPr>
                <a:xfrm>
                  <a:off x="8715196" y="16900906"/>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5240F7D-105B-4399-8554-1ECF9D3E287E}" type="TxLink">
                    <a:rPr lang="en-US" sz="1600" b="1" i="0" u="none" strike="noStrike">
                      <a:solidFill>
                        <a:srgbClr val="FF0000"/>
                      </a:solidFill>
                      <a:latin typeface="Century Gothic"/>
                    </a:rPr>
                    <a:pPr algn="ctr"/>
                    <a:t>61,5%</a:t>
                  </a:fld>
                  <a:endParaRPr lang="es-CO" sz="1800">
                    <a:solidFill>
                      <a:srgbClr val="FF0000"/>
                    </a:solidFill>
                  </a:endParaRPr>
                </a:p>
              </xdr:txBody>
            </xdr:sp>
            <xdr:grpSp>
              <xdr:nvGrpSpPr>
                <xdr:cNvPr id="168" name="Grupo 167">
                  <a:extLst>
                    <a:ext uri="{FF2B5EF4-FFF2-40B4-BE49-F238E27FC236}">
                      <a16:creationId xmlns:a16="http://schemas.microsoft.com/office/drawing/2014/main" id="{00000000-0008-0000-0A00-0000E9010000}"/>
                    </a:ext>
                  </a:extLst>
                </xdr:cNvPr>
                <xdr:cNvGrpSpPr/>
              </xdr:nvGrpSpPr>
              <xdr:grpSpPr>
                <a:xfrm>
                  <a:off x="8772687" y="17284445"/>
                  <a:ext cx="769986" cy="278565"/>
                  <a:chOff x="6371102" y="13544941"/>
                  <a:chExt cx="770852" cy="278565"/>
                </a:xfrm>
              </xdr:grpSpPr>
              <xdr:sp macro="" textlink="$N$12">
                <xdr:nvSpPr>
                  <xdr:cNvPr id="169" name="Rectángulo 168">
                    <a:extLst>
                      <a:ext uri="{FF2B5EF4-FFF2-40B4-BE49-F238E27FC236}">
                        <a16:creationId xmlns:a16="http://schemas.microsoft.com/office/drawing/2014/main" id="{00000000-0008-0000-0A00-000042010000}"/>
                      </a:ext>
                    </a:extLst>
                  </xdr:cNvPr>
                  <xdr:cNvSpPr/>
                </xdr:nvSpPr>
                <xdr:spPr>
                  <a:xfrm>
                    <a:off x="6400791"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30229BC-7F93-47C7-9E7B-53A219876A3E}" type="TxLink">
                      <a:rPr lang="en-US" sz="1100" b="1" i="0" u="none" strike="noStrike">
                        <a:solidFill>
                          <a:srgbClr val="FF0000"/>
                        </a:solidFill>
                        <a:latin typeface="Century Gothic"/>
                      </a:rPr>
                      <a:pPr algn="ctr"/>
                      <a:t>16</a:t>
                    </a:fld>
                    <a:endParaRPr lang="es-CO" sz="2000" b="1">
                      <a:solidFill>
                        <a:srgbClr val="FF0000"/>
                      </a:solidFill>
                    </a:endParaRPr>
                  </a:p>
                </xdr:txBody>
              </xdr:sp>
              <xdr:sp macro="" textlink="$L$12">
                <xdr:nvSpPr>
                  <xdr:cNvPr id="170" name="Rectángulo 169">
                    <a:extLst>
                      <a:ext uri="{FF2B5EF4-FFF2-40B4-BE49-F238E27FC236}">
                        <a16:creationId xmlns:a16="http://schemas.microsoft.com/office/drawing/2014/main" id="{00000000-0008-0000-0A00-000043010000}"/>
                      </a:ext>
                    </a:extLst>
                  </xdr:cNvPr>
                  <xdr:cNvSpPr/>
                </xdr:nvSpPr>
                <xdr:spPr>
                  <a:xfrm>
                    <a:off x="6676885"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02CBDA-4975-4C1B-A271-C14D6D24756D}" type="TxLink">
                      <a:rPr lang="en-US" sz="1100" b="1" i="0" u="none" strike="noStrike">
                        <a:solidFill>
                          <a:srgbClr val="FF0000"/>
                        </a:solidFill>
                        <a:latin typeface="Century Gothic"/>
                      </a:rPr>
                      <a:pPr algn="ctr"/>
                      <a:t>26</a:t>
                    </a:fld>
                    <a:endParaRPr lang="es-CO" sz="2000" b="1">
                      <a:solidFill>
                        <a:srgbClr val="FF0000"/>
                      </a:solidFill>
                    </a:endParaRPr>
                  </a:p>
                </xdr:txBody>
              </xdr:sp>
              <xdr:sp macro="" textlink="">
                <xdr:nvSpPr>
                  <xdr:cNvPr id="171" name="CuadroTexto 170">
                    <a:extLst>
                      <a:ext uri="{FF2B5EF4-FFF2-40B4-BE49-F238E27FC236}">
                        <a16:creationId xmlns:a16="http://schemas.microsoft.com/office/drawing/2014/main" id="{00000000-0008-0000-0A00-0000E8010000}"/>
                      </a:ext>
                    </a:extLst>
                  </xdr:cNvPr>
                  <xdr:cNvSpPr txBox="1"/>
                </xdr:nvSpPr>
                <xdr:spPr>
                  <a:xfrm>
                    <a:off x="6371102" y="1354494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82" name="Grupo 781"/>
              <xdr:cNvGrpSpPr/>
            </xdr:nvGrpSpPr>
            <xdr:grpSpPr>
              <a:xfrm>
                <a:off x="6487454" y="18383247"/>
                <a:ext cx="934950" cy="828000"/>
                <a:chOff x="8011449" y="18532924"/>
                <a:chExt cx="934950" cy="828000"/>
              </a:xfrm>
            </xdr:grpSpPr>
            <xdr:sp macro="" textlink="">
              <xdr:nvSpPr>
                <xdr:cNvPr id="744" name="Elipse 743"/>
                <xdr:cNvSpPr/>
              </xdr:nvSpPr>
              <xdr:spPr>
                <a:xfrm>
                  <a:off x="8028214" y="18532924"/>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6">
              <xdr:nvSpPr>
                <xdr:cNvPr id="230" name="Rectángulo redondeado 229">
                  <a:extLst>
                    <a:ext uri="{FF2B5EF4-FFF2-40B4-BE49-F238E27FC236}">
                      <a16:creationId xmlns:a16="http://schemas.microsoft.com/office/drawing/2014/main" id="{00000000-0008-0000-0A00-000059000000}"/>
                    </a:ext>
                  </a:extLst>
                </xdr:cNvPr>
                <xdr:cNvSpPr/>
              </xdr:nvSpPr>
              <xdr:spPr>
                <a:xfrm>
                  <a:off x="8011449" y="18601770"/>
                  <a:ext cx="934950" cy="50232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9502EA5-E4AF-4CB0-A60E-29CE20AA7570}" type="TxLink">
                    <a:rPr lang="en-US" sz="1600" b="1" i="0" u="none" strike="noStrike">
                      <a:solidFill>
                        <a:srgbClr val="FF0000"/>
                      </a:solidFill>
                      <a:latin typeface="Century Gothic"/>
                    </a:rPr>
                    <a:pPr algn="ctr"/>
                    <a:t>0,0%</a:t>
                  </a:fld>
                  <a:endParaRPr lang="es-CO" sz="1600">
                    <a:solidFill>
                      <a:srgbClr val="FF0000"/>
                    </a:solidFill>
                  </a:endParaRPr>
                </a:p>
              </xdr:txBody>
            </xdr:sp>
            <xdr:grpSp>
              <xdr:nvGrpSpPr>
                <xdr:cNvPr id="224" name="Grupo 223">
                  <a:extLst>
                    <a:ext uri="{FF2B5EF4-FFF2-40B4-BE49-F238E27FC236}">
                      <a16:creationId xmlns:a16="http://schemas.microsoft.com/office/drawing/2014/main" id="{00000000-0008-0000-0A00-00003C000000}"/>
                    </a:ext>
                  </a:extLst>
                </xdr:cNvPr>
                <xdr:cNvGrpSpPr/>
              </xdr:nvGrpSpPr>
              <xdr:grpSpPr>
                <a:xfrm>
                  <a:off x="8046695" y="18961805"/>
                  <a:ext cx="769986" cy="272143"/>
                  <a:chOff x="7905623" y="19835134"/>
                  <a:chExt cx="770852" cy="272143"/>
                </a:xfrm>
              </xdr:grpSpPr>
              <xdr:sp macro="" textlink="$N$6">
                <xdr:nvSpPr>
                  <xdr:cNvPr id="225" name="Rectángulo 224">
                    <a:extLst>
                      <a:ext uri="{FF2B5EF4-FFF2-40B4-BE49-F238E27FC236}">
                        <a16:creationId xmlns:a16="http://schemas.microsoft.com/office/drawing/2014/main" id="{00000000-0008-0000-0A00-000035010000}"/>
                      </a:ext>
                    </a:extLst>
                  </xdr:cNvPr>
                  <xdr:cNvSpPr/>
                </xdr:nvSpPr>
                <xdr:spPr>
                  <a:xfrm>
                    <a:off x="7941257" y="198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658EB88-255B-4CC5-B35A-2C06EECA47DE}" type="TxLink">
                      <a:rPr lang="en-US" sz="1100" b="1" i="0" u="none" strike="noStrike">
                        <a:solidFill>
                          <a:srgbClr val="FF0000"/>
                        </a:solidFill>
                        <a:latin typeface="Century Gothic"/>
                      </a:rPr>
                      <a:pPr algn="ctr"/>
                      <a:t>0</a:t>
                    </a:fld>
                    <a:endParaRPr lang="es-CO" sz="1100" b="1">
                      <a:solidFill>
                        <a:srgbClr val="FF0000"/>
                      </a:solidFill>
                    </a:endParaRPr>
                  </a:p>
                </xdr:txBody>
              </xdr:sp>
              <xdr:sp macro="" textlink="$L$6">
                <xdr:nvSpPr>
                  <xdr:cNvPr id="226" name="Rectángulo 225">
                    <a:extLst>
                      <a:ext uri="{FF2B5EF4-FFF2-40B4-BE49-F238E27FC236}">
                        <a16:creationId xmlns:a16="http://schemas.microsoft.com/office/drawing/2014/main" id="{00000000-0008-0000-0A00-000037010000}"/>
                      </a:ext>
                    </a:extLst>
                  </xdr:cNvPr>
                  <xdr:cNvSpPr/>
                </xdr:nvSpPr>
                <xdr:spPr>
                  <a:xfrm>
                    <a:off x="8226015" y="198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AD53F0-5C1B-4311-99A9-A461A0877824}" type="TxLink">
                      <a:rPr lang="en-US" sz="1100" b="1" i="0" u="none" strike="noStrike">
                        <a:solidFill>
                          <a:srgbClr val="FF0000"/>
                        </a:solidFill>
                        <a:latin typeface="Century Gothic"/>
                      </a:rPr>
                      <a:pPr algn="ctr"/>
                      <a:t>1</a:t>
                    </a:fld>
                    <a:endParaRPr lang="es-CO" sz="1100" b="1">
                      <a:solidFill>
                        <a:srgbClr val="FF0000"/>
                      </a:solidFill>
                    </a:endParaRPr>
                  </a:p>
                </xdr:txBody>
              </xdr:sp>
              <xdr:sp macro="" textlink="">
                <xdr:nvSpPr>
                  <xdr:cNvPr id="227" name="CuadroTexto 226">
                    <a:extLst>
                      <a:ext uri="{FF2B5EF4-FFF2-40B4-BE49-F238E27FC236}">
                        <a16:creationId xmlns:a16="http://schemas.microsoft.com/office/drawing/2014/main" id="{00000000-0008-0000-0A00-0000DA010000}"/>
                      </a:ext>
                    </a:extLst>
                  </xdr:cNvPr>
                  <xdr:cNvSpPr txBox="1"/>
                </xdr:nvSpPr>
                <xdr:spPr>
                  <a:xfrm>
                    <a:off x="7905623" y="19839950"/>
                    <a:ext cx="770852" cy="264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83" name="Grupo 782"/>
              <xdr:cNvGrpSpPr/>
            </xdr:nvGrpSpPr>
            <xdr:grpSpPr>
              <a:xfrm>
                <a:off x="364207" y="19909970"/>
                <a:ext cx="934949" cy="828000"/>
                <a:chOff x="200923" y="19909970"/>
                <a:chExt cx="934949" cy="828000"/>
              </a:xfrm>
            </xdr:grpSpPr>
            <xdr:sp macro="" textlink="">
              <xdr:nvSpPr>
                <xdr:cNvPr id="780" name="Elipse 779"/>
                <xdr:cNvSpPr/>
              </xdr:nvSpPr>
              <xdr:spPr>
                <a:xfrm>
                  <a:off x="247649" y="19909970"/>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7">
              <xdr:nvSpPr>
                <xdr:cNvPr id="222" name="Rectángulo redondeado 221">
                  <a:extLst>
                    <a:ext uri="{FF2B5EF4-FFF2-40B4-BE49-F238E27FC236}">
                      <a16:creationId xmlns:a16="http://schemas.microsoft.com/office/drawing/2014/main" id="{00000000-0008-0000-0A00-00006C000000}"/>
                    </a:ext>
                  </a:extLst>
                </xdr:cNvPr>
                <xdr:cNvSpPr/>
              </xdr:nvSpPr>
              <xdr:spPr>
                <a:xfrm>
                  <a:off x="200923" y="19978847"/>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2695697-7DC0-48CB-B073-27C4A0513A45}" type="TxLink">
                    <a:rPr lang="en-US" sz="1600" b="1" i="0" u="none" strike="noStrike">
                      <a:solidFill>
                        <a:srgbClr val="FF0000"/>
                      </a:solidFill>
                      <a:latin typeface="Century Gothic"/>
                    </a:rPr>
                    <a:pPr algn="ctr"/>
                    <a:t>100,0%</a:t>
                  </a:fld>
                  <a:endParaRPr lang="es-CO" sz="1600">
                    <a:solidFill>
                      <a:srgbClr val="FF0000"/>
                    </a:solidFill>
                  </a:endParaRPr>
                </a:p>
              </xdr:txBody>
            </xdr:sp>
            <xdr:grpSp>
              <xdr:nvGrpSpPr>
                <xdr:cNvPr id="216" name="Grupo 215">
                  <a:extLst>
                    <a:ext uri="{FF2B5EF4-FFF2-40B4-BE49-F238E27FC236}">
                      <a16:creationId xmlns:a16="http://schemas.microsoft.com/office/drawing/2014/main" id="{00000000-0008-0000-0A00-00003E000000}"/>
                    </a:ext>
                  </a:extLst>
                </xdr:cNvPr>
                <xdr:cNvGrpSpPr/>
              </xdr:nvGrpSpPr>
              <xdr:grpSpPr>
                <a:xfrm>
                  <a:off x="274293" y="20291605"/>
                  <a:ext cx="769986" cy="292171"/>
                  <a:chOff x="5409940" y="12061756"/>
                  <a:chExt cx="770852" cy="292171"/>
                </a:xfrm>
              </xdr:grpSpPr>
              <xdr:sp macro="" textlink="$N$7">
                <xdr:nvSpPr>
                  <xdr:cNvPr id="217" name="Rectángulo 216">
                    <a:extLst>
                      <a:ext uri="{FF2B5EF4-FFF2-40B4-BE49-F238E27FC236}">
                        <a16:creationId xmlns:a16="http://schemas.microsoft.com/office/drawing/2014/main" id="{00000000-0008-0000-0A00-000038010000}"/>
                      </a:ext>
                    </a:extLst>
                  </xdr:cNvPr>
                  <xdr:cNvSpPr/>
                </xdr:nvSpPr>
                <xdr:spPr>
                  <a:xfrm>
                    <a:off x="5434691" y="120817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15AE61E-9B7C-44F4-AC25-B0CB2E4D8EFD}" type="TxLink">
                      <a:rPr lang="en-US" sz="1100" b="1" i="0" u="none" strike="noStrike">
                        <a:solidFill>
                          <a:srgbClr val="FF0000"/>
                        </a:solidFill>
                        <a:latin typeface="Century Gothic"/>
                      </a:rPr>
                      <a:pPr algn="ctr"/>
                      <a:t>3</a:t>
                    </a:fld>
                    <a:endParaRPr lang="es-CO" sz="1100" b="1">
                      <a:solidFill>
                        <a:srgbClr val="FF0000"/>
                      </a:solidFill>
                    </a:endParaRPr>
                  </a:p>
                </xdr:txBody>
              </xdr:sp>
              <xdr:sp macro="" textlink="$L$7">
                <xdr:nvSpPr>
                  <xdr:cNvPr id="218" name="Rectángulo 217">
                    <a:extLst>
                      <a:ext uri="{FF2B5EF4-FFF2-40B4-BE49-F238E27FC236}">
                        <a16:creationId xmlns:a16="http://schemas.microsoft.com/office/drawing/2014/main" id="{00000000-0008-0000-0A00-000039010000}"/>
                      </a:ext>
                    </a:extLst>
                  </xdr:cNvPr>
                  <xdr:cNvSpPr/>
                </xdr:nvSpPr>
                <xdr:spPr>
                  <a:xfrm>
                    <a:off x="5710786" y="120817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3B32E77-7B42-450D-929C-4C548F89F3AF}" type="TxLink">
                      <a:rPr lang="en-US" sz="1100" b="1" i="0" u="none" strike="noStrike">
                        <a:solidFill>
                          <a:srgbClr val="FF0000"/>
                        </a:solidFill>
                        <a:latin typeface="Century Gothic"/>
                      </a:rPr>
                      <a:pPr algn="ctr"/>
                      <a:t>3</a:t>
                    </a:fld>
                    <a:endParaRPr lang="es-CO" sz="1100" b="1">
                      <a:solidFill>
                        <a:srgbClr val="FF0000"/>
                      </a:solidFill>
                    </a:endParaRPr>
                  </a:p>
                </xdr:txBody>
              </xdr:sp>
              <xdr:sp macro="" textlink="">
                <xdr:nvSpPr>
                  <xdr:cNvPr id="219" name="CuadroTexto 218">
                    <a:extLst>
                      <a:ext uri="{FF2B5EF4-FFF2-40B4-BE49-F238E27FC236}">
                        <a16:creationId xmlns:a16="http://schemas.microsoft.com/office/drawing/2014/main" id="{00000000-0008-0000-0A00-0000DB010000}"/>
                      </a:ext>
                    </a:extLst>
                  </xdr:cNvPr>
                  <xdr:cNvSpPr txBox="1"/>
                </xdr:nvSpPr>
                <xdr:spPr>
                  <a:xfrm>
                    <a:off x="5409940" y="1206175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84" name="Grupo 783"/>
              <xdr:cNvGrpSpPr/>
            </xdr:nvGrpSpPr>
            <xdr:grpSpPr>
              <a:xfrm>
                <a:off x="391451" y="20760419"/>
                <a:ext cx="934949" cy="828000"/>
                <a:chOff x="214560" y="20774026"/>
                <a:chExt cx="934949" cy="828000"/>
              </a:xfrm>
            </xdr:grpSpPr>
            <xdr:sp macro="" textlink="">
              <xdr:nvSpPr>
                <xdr:cNvPr id="781" name="Elipse 780"/>
                <xdr:cNvSpPr/>
              </xdr:nvSpPr>
              <xdr:spPr>
                <a:xfrm>
                  <a:off x="247649" y="20774026"/>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8">
              <xdr:nvSpPr>
                <xdr:cNvPr id="214" name="Rectángulo redondeado 213">
                  <a:extLst>
                    <a:ext uri="{FF2B5EF4-FFF2-40B4-BE49-F238E27FC236}">
                      <a16:creationId xmlns:a16="http://schemas.microsoft.com/office/drawing/2014/main" id="{00000000-0008-0000-0A00-000070000000}"/>
                    </a:ext>
                  </a:extLst>
                </xdr:cNvPr>
                <xdr:cNvSpPr/>
              </xdr:nvSpPr>
              <xdr:spPr>
                <a:xfrm>
                  <a:off x="214560" y="20852428"/>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A5B2EA-87E8-4E20-81DA-B3056D10412D}" type="TxLink">
                    <a:rPr lang="en-US" sz="1600" b="1" i="0" u="none" strike="noStrike">
                      <a:solidFill>
                        <a:srgbClr val="FF0000"/>
                      </a:solidFill>
                      <a:latin typeface="Century Gothic"/>
                    </a:rPr>
                    <a:pPr algn="ctr"/>
                    <a:t>50,0%</a:t>
                  </a:fld>
                  <a:endParaRPr lang="es-CO" sz="2800">
                    <a:solidFill>
                      <a:srgbClr val="FF0000"/>
                    </a:solidFill>
                  </a:endParaRPr>
                </a:p>
              </xdr:txBody>
            </xdr:sp>
            <xdr:grpSp>
              <xdr:nvGrpSpPr>
                <xdr:cNvPr id="208" name="Grupo 207">
                  <a:extLst>
                    <a:ext uri="{FF2B5EF4-FFF2-40B4-BE49-F238E27FC236}">
                      <a16:creationId xmlns:a16="http://schemas.microsoft.com/office/drawing/2014/main" id="{00000000-0008-0000-0A00-0000DD010000}"/>
                    </a:ext>
                  </a:extLst>
                </xdr:cNvPr>
                <xdr:cNvGrpSpPr/>
              </xdr:nvGrpSpPr>
              <xdr:grpSpPr>
                <a:xfrm>
                  <a:off x="257966" y="21177777"/>
                  <a:ext cx="769986" cy="279583"/>
                  <a:chOff x="7845616" y="12335604"/>
                  <a:chExt cx="770852" cy="279583"/>
                </a:xfrm>
              </xdr:grpSpPr>
              <xdr:sp macro="" textlink="$N$8">
                <xdr:nvSpPr>
                  <xdr:cNvPr id="209" name="Rectángulo 208">
                    <a:extLst>
                      <a:ext uri="{FF2B5EF4-FFF2-40B4-BE49-F238E27FC236}">
                        <a16:creationId xmlns:a16="http://schemas.microsoft.com/office/drawing/2014/main" id="{00000000-0008-0000-0A00-00003A010000}"/>
                      </a:ext>
                    </a:extLst>
                  </xdr:cNvPr>
                  <xdr:cNvSpPr/>
                </xdr:nvSpPr>
                <xdr:spPr>
                  <a:xfrm>
                    <a:off x="7873089"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83F2B96-C05A-4E6C-B17F-E01FC9DBB9BF}" type="TxLink">
                      <a:rPr lang="en-US" sz="1100" b="1" i="0" u="none" strike="noStrike">
                        <a:solidFill>
                          <a:srgbClr val="FF0000"/>
                        </a:solidFill>
                        <a:latin typeface="Century Gothic"/>
                      </a:rPr>
                      <a:pPr algn="ctr"/>
                      <a:t>1</a:t>
                    </a:fld>
                    <a:endParaRPr lang="es-CO" sz="1200" b="1">
                      <a:solidFill>
                        <a:srgbClr val="FF0000"/>
                      </a:solidFill>
                    </a:endParaRPr>
                  </a:p>
                </xdr:txBody>
              </xdr:sp>
              <xdr:sp macro="" textlink="$L$8">
                <xdr:nvSpPr>
                  <xdr:cNvPr id="210" name="Rectángulo 209">
                    <a:extLst>
                      <a:ext uri="{FF2B5EF4-FFF2-40B4-BE49-F238E27FC236}">
                        <a16:creationId xmlns:a16="http://schemas.microsoft.com/office/drawing/2014/main" id="{00000000-0008-0000-0A00-00003B010000}"/>
                      </a:ext>
                    </a:extLst>
                  </xdr:cNvPr>
                  <xdr:cNvSpPr/>
                </xdr:nvSpPr>
                <xdr:spPr>
                  <a:xfrm>
                    <a:off x="8149183"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7B128C7-AC54-4856-B656-7A4FE6FB05D4}" type="TxLink">
                      <a:rPr lang="en-US" sz="1100" b="1" i="0" u="none" strike="noStrike">
                        <a:solidFill>
                          <a:srgbClr val="FF0000"/>
                        </a:solidFill>
                        <a:latin typeface="Century Gothic"/>
                      </a:rPr>
                      <a:pPr algn="ctr"/>
                      <a:t>2</a:t>
                    </a:fld>
                    <a:endParaRPr lang="es-CO" sz="1200" b="1">
                      <a:solidFill>
                        <a:srgbClr val="FF0000"/>
                      </a:solidFill>
                    </a:endParaRPr>
                  </a:p>
                </xdr:txBody>
              </xdr:sp>
              <xdr:sp macro="" textlink="">
                <xdr:nvSpPr>
                  <xdr:cNvPr id="211" name="CuadroTexto 210">
                    <a:extLst>
                      <a:ext uri="{FF2B5EF4-FFF2-40B4-BE49-F238E27FC236}">
                        <a16:creationId xmlns:a16="http://schemas.microsoft.com/office/drawing/2014/main" id="{00000000-0008-0000-0A00-0000DC010000}"/>
                      </a:ext>
                    </a:extLst>
                  </xdr:cNvPr>
                  <xdr:cNvSpPr txBox="1"/>
                </xdr:nvSpPr>
                <xdr:spPr>
                  <a:xfrm>
                    <a:off x="7845616" y="1233560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92" name="Grupo 791"/>
              <xdr:cNvGrpSpPr/>
            </xdr:nvGrpSpPr>
            <xdr:grpSpPr>
              <a:xfrm>
                <a:off x="9385830" y="21229863"/>
                <a:ext cx="934949" cy="828000"/>
                <a:chOff x="9535507" y="21991863"/>
                <a:chExt cx="934949" cy="828000"/>
              </a:xfrm>
            </xdr:grpSpPr>
            <xdr:sp macro="" textlink="">
              <xdr:nvSpPr>
                <xdr:cNvPr id="774" name="Elipse 773"/>
                <xdr:cNvSpPr/>
              </xdr:nvSpPr>
              <xdr:spPr>
                <a:xfrm>
                  <a:off x="9595756" y="21991863"/>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9">
              <xdr:nvSpPr>
                <xdr:cNvPr id="206" name="Rectángulo redondeado 205">
                  <a:extLst>
                    <a:ext uri="{FF2B5EF4-FFF2-40B4-BE49-F238E27FC236}">
                      <a16:creationId xmlns:a16="http://schemas.microsoft.com/office/drawing/2014/main" id="{00000000-0008-0000-0A00-000074000000}"/>
                    </a:ext>
                  </a:extLst>
                </xdr:cNvPr>
                <xdr:cNvSpPr/>
              </xdr:nvSpPr>
              <xdr:spPr>
                <a:xfrm>
                  <a:off x="9535507" y="21998151"/>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B943DD-91BC-46EC-BB55-D1CE6444C32F}" type="TxLink">
                    <a:rPr lang="en-US" sz="1600" b="1" i="0" u="none" strike="noStrike">
                      <a:solidFill>
                        <a:srgbClr val="FF0000"/>
                      </a:solidFill>
                      <a:latin typeface="Century Gothic"/>
                    </a:rPr>
                    <a:pPr algn="ctr"/>
                    <a:t>-</a:t>
                  </a:fld>
                  <a:endParaRPr lang="es-CO" sz="1600">
                    <a:solidFill>
                      <a:srgbClr val="FF0000"/>
                    </a:solidFill>
                  </a:endParaRPr>
                </a:p>
              </xdr:txBody>
            </xdr:sp>
            <xdr:grpSp>
              <xdr:nvGrpSpPr>
                <xdr:cNvPr id="200" name="Grupo 199">
                  <a:extLst>
                    <a:ext uri="{FF2B5EF4-FFF2-40B4-BE49-F238E27FC236}">
                      <a16:creationId xmlns:a16="http://schemas.microsoft.com/office/drawing/2014/main" id="{00000000-0008-0000-0A00-0000DF010000}"/>
                    </a:ext>
                  </a:extLst>
                </xdr:cNvPr>
                <xdr:cNvGrpSpPr/>
              </xdr:nvGrpSpPr>
              <xdr:grpSpPr>
                <a:xfrm>
                  <a:off x="9635610" y="22358151"/>
                  <a:ext cx="769986" cy="272143"/>
                  <a:chOff x="10109347" y="12345767"/>
                  <a:chExt cx="770852" cy="272143"/>
                </a:xfrm>
              </xdr:grpSpPr>
              <xdr:sp macro="" textlink="$N$9">
                <xdr:nvSpPr>
                  <xdr:cNvPr id="201" name="Rectángulo 200">
                    <a:extLst>
                      <a:ext uri="{FF2B5EF4-FFF2-40B4-BE49-F238E27FC236}">
                        <a16:creationId xmlns:a16="http://schemas.microsoft.com/office/drawing/2014/main" id="{00000000-0008-0000-0A00-00003C010000}"/>
                      </a:ext>
                    </a:extLst>
                  </xdr:cNvPr>
                  <xdr:cNvSpPr/>
                </xdr:nvSpPr>
                <xdr:spPr>
                  <a:xfrm>
                    <a:off x="10148201"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40F130-7769-4A21-B4F9-89B48C51AC34}" type="TxLink">
                      <a:rPr lang="en-US" sz="1100" b="1" i="0" u="none" strike="noStrike">
                        <a:solidFill>
                          <a:srgbClr val="FF0000"/>
                        </a:solidFill>
                        <a:latin typeface="Century Gothic"/>
                      </a:rPr>
                      <a:pPr algn="ctr"/>
                      <a:t>-</a:t>
                    </a:fld>
                    <a:endParaRPr lang="es-CO" sz="1400" b="1">
                      <a:solidFill>
                        <a:srgbClr val="FF0000"/>
                      </a:solidFill>
                    </a:endParaRPr>
                  </a:p>
                </xdr:txBody>
              </xdr:sp>
              <xdr:sp macro="" textlink="$L$9">
                <xdr:nvSpPr>
                  <xdr:cNvPr id="202" name="Rectángulo 201">
                    <a:extLst>
                      <a:ext uri="{FF2B5EF4-FFF2-40B4-BE49-F238E27FC236}">
                        <a16:creationId xmlns:a16="http://schemas.microsoft.com/office/drawing/2014/main" id="{00000000-0008-0000-0A00-00003D010000}"/>
                      </a:ext>
                    </a:extLst>
                  </xdr:cNvPr>
                  <xdr:cNvSpPr/>
                </xdr:nvSpPr>
                <xdr:spPr>
                  <a:xfrm>
                    <a:off x="10424295"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2712BF-91B0-4BF1-BDA4-BB50B582F37C}" type="TxLink">
                      <a:rPr lang="en-US" sz="1100" b="1" i="0" u="none" strike="noStrike">
                        <a:solidFill>
                          <a:srgbClr val="FF0000"/>
                        </a:solidFill>
                        <a:latin typeface="Century Gothic"/>
                      </a:rPr>
                      <a:pPr algn="ctr"/>
                      <a:t>0</a:t>
                    </a:fld>
                    <a:endParaRPr lang="es-CO" sz="1400" b="1">
                      <a:solidFill>
                        <a:srgbClr val="FF0000"/>
                      </a:solidFill>
                    </a:endParaRPr>
                  </a:p>
                </xdr:txBody>
              </xdr:sp>
              <xdr:sp macro="" textlink="">
                <xdr:nvSpPr>
                  <xdr:cNvPr id="203" name="CuadroTexto 202">
                    <a:extLst>
                      <a:ext uri="{FF2B5EF4-FFF2-40B4-BE49-F238E27FC236}">
                        <a16:creationId xmlns:a16="http://schemas.microsoft.com/office/drawing/2014/main" id="{00000000-0008-0000-0A00-0000DE010000}"/>
                      </a:ext>
                    </a:extLst>
                  </xdr:cNvPr>
                  <xdr:cNvSpPr txBox="1"/>
                </xdr:nvSpPr>
                <xdr:spPr>
                  <a:xfrm>
                    <a:off x="10109347" y="12352617"/>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86" name="Grupo 785"/>
              <xdr:cNvGrpSpPr/>
            </xdr:nvGrpSpPr>
            <xdr:grpSpPr>
              <a:xfrm>
                <a:off x="9394558" y="20352202"/>
                <a:ext cx="934950" cy="828000"/>
                <a:chOff x="9544235" y="20352202"/>
                <a:chExt cx="934950" cy="828000"/>
              </a:xfrm>
            </xdr:grpSpPr>
            <xdr:sp macro="" textlink="">
              <xdr:nvSpPr>
                <xdr:cNvPr id="773" name="Elipse 772"/>
                <xdr:cNvSpPr/>
              </xdr:nvSpPr>
              <xdr:spPr>
                <a:xfrm>
                  <a:off x="9595756" y="20352202"/>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10">
              <xdr:nvSpPr>
                <xdr:cNvPr id="190" name="Rectángulo redondeado 189">
                  <a:extLst>
                    <a:ext uri="{FF2B5EF4-FFF2-40B4-BE49-F238E27FC236}">
                      <a16:creationId xmlns:a16="http://schemas.microsoft.com/office/drawing/2014/main" id="{00000000-0008-0000-0A00-000012000000}"/>
                    </a:ext>
                  </a:extLst>
                </xdr:cNvPr>
                <xdr:cNvSpPr/>
              </xdr:nvSpPr>
              <xdr:spPr>
                <a:xfrm>
                  <a:off x="9544235" y="20392495"/>
                  <a:ext cx="93495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0D7B4A-6D6C-480C-B955-CDABAA9BC226}" type="TxLink">
                    <a:rPr lang="en-US" sz="1600" b="1" i="0" u="none" strike="noStrike">
                      <a:solidFill>
                        <a:srgbClr val="FF0000"/>
                      </a:solidFill>
                      <a:latin typeface="Century Gothic"/>
                    </a:rPr>
                    <a:pPr algn="ctr"/>
                    <a:t>-</a:t>
                  </a:fld>
                  <a:endParaRPr lang="es-CO" sz="1600">
                    <a:solidFill>
                      <a:srgbClr val="FF0000"/>
                    </a:solidFill>
                  </a:endParaRPr>
                </a:p>
              </xdr:txBody>
            </xdr:sp>
            <xdr:grpSp>
              <xdr:nvGrpSpPr>
                <xdr:cNvPr id="184" name="Grupo 183">
                  <a:extLst>
                    <a:ext uri="{FF2B5EF4-FFF2-40B4-BE49-F238E27FC236}">
                      <a16:creationId xmlns:a16="http://schemas.microsoft.com/office/drawing/2014/main" id="{00000000-0008-0000-0A00-0000E3010000}"/>
                    </a:ext>
                  </a:extLst>
                </xdr:cNvPr>
                <xdr:cNvGrpSpPr/>
              </xdr:nvGrpSpPr>
              <xdr:grpSpPr>
                <a:xfrm>
                  <a:off x="9666526" y="20718548"/>
                  <a:ext cx="769986" cy="281621"/>
                  <a:chOff x="2429979" y="13550046"/>
                  <a:chExt cx="770852" cy="281621"/>
                </a:xfrm>
              </xdr:grpSpPr>
              <xdr:sp macro="" textlink="$N$10">
                <xdr:nvSpPr>
                  <xdr:cNvPr id="185" name="Rectángulo 184">
                    <a:extLst>
                      <a:ext uri="{FF2B5EF4-FFF2-40B4-BE49-F238E27FC236}">
                        <a16:creationId xmlns:a16="http://schemas.microsoft.com/office/drawing/2014/main" id="{00000000-0008-0000-0A00-00003E010000}"/>
                      </a:ext>
                    </a:extLst>
                  </xdr:cNvPr>
                  <xdr:cNvSpPr/>
                </xdr:nvSpPr>
                <xdr:spPr>
                  <a:xfrm>
                    <a:off x="2462887"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3696C5-91FD-4FF2-B112-A0D81278964D}" type="TxLink">
                      <a:rPr lang="en-US" sz="1100" b="1" i="0" u="none" strike="noStrike">
                        <a:solidFill>
                          <a:srgbClr val="FF0000"/>
                        </a:solidFill>
                        <a:latin typeface="Century Gothic"/>
                      </a:rPr>
                      <a:pPr algn="ctr"/>
                      <a:t>-</a:t>
                    </a:fld>
                    <a:endParaRPr lang="es-CO" sz="1600" b="1">
                      <a:solidFill>
                        <a:srgbClr val="FF0000"/>
                      </a:solidFill>
                    </a:endParaRPr>
                  </a:p>
                </xdr:txBody>
              </xdr:sp>
              <xdr:sp macro="" textlink="$L$10">
                <xdr:nvSpPr>
                  <xdr:cNvPr id="186" name="Rectángulo 185">
                    <a:extLst>
                      <a:ext uri="{FF2B5EF4-FFF2-40B4-BE49-F238E27FC236}">
                        <a16:creationId xmlns:a16="http://schemas.microsoft.com/office/drawing/2014/main" id="{00000000-0008-0000-0A00-00003F010000}"/>
                      </a:ext>
                    </a:extLst>
                  </xdr:cNvPr>
                  <xdr:cNvSpPr/>
                </xdr:nvSpPr>
                <xdr:spPr>
                  <a:xfrm>
                    <a:off x="2738981"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9E9F63B-5A21-4F05-97D9-82240AD55A9B}" type="TxLink">
                      <a:rPr lang="en-US" sz="1100" b="1" i="0" u="none" strike="noStrike">
                        <a:solidFill>
                          <a:srgbClr val="FF0000"/>
                        </a:solidFill>
                        <a:latin typeface="Century Gothic"/>
                      </a:rPr>
                      <a:pPr algn="ctr"/>
                      <a:t>0</a:t>
                    </a:fld>
                    <a:endParaRPr lang="es-CO" sz="1600" b="1">
                      <a:solidFill>
                        <a:srgbClr val="FF0000"/>
                      </a:solidFill>
                    </a:endParaRPr>
                  </a:p>
                </xdr:txBody>
              </xdr:sp>
              <xdr:sp macro="" textlink="">
                <xdr:nvSpPr>
                  <xdr:cNvPr id="187" name="CuadroTexto 186">
                    <a:extLst>
                      <a:ext uri="{FF2B5EF4-FFF2-40B4-BE49-F238E27FC236}">
                        <a16:creationId xmlns:a16="http://schemas.microsoft.com/office/drawing/2014/main" id="{00000000-0008-0000-0A00-0000E2010000}"/>
                      </a:ext>
                    </a:extLst>
                  </xdr:cNvPr>
                  <xdr:cNvSpPr txBox="1"/>
                </xdr:nvSpPr>
                <xdr:spPr>
                  <a:xfrm>
                    <a:off x="2429979" y="1355004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90" name="Grupo 789"/>
              <xdr:cNvGrpSpPr/>
            </xdr:nvGrpSpPr>
            <xdr:grpSpPr>
              <a:xfrm>
                <a:off x="9422246" y="19501756"/>
                <a:ext cx="934950" cy="828000"/>
                <a:chOff x="9571923" y="19501756"/>
                <a:chExt cx="934950" cy="828000"/>
              </a:xfrm>
            </xdr:grpSpPr>
            <xdr:sp macro="" textlink="">
              <xdr:nvSpPr>
                <xdr:cNvPr id="772" name="Elipse 771"/>
                <xdr:cNvSpPr/>
              </xdr:nvSpPr>
              <xdr:spPr>
                <a:xfrm>
                  <a:off x="9595756" y="19501756"/>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789" name="Grupo 788"/>
                <xdr:cNvGrpSpPr/>
              </xdr:nvGrpSpPr>
              <xdr:grpSpPr>
                <a:xfrm>
                  <a:off x="9571923" y="19551575"/>
                  <a:ext cx="934950" cy="634889"/>
                  <a:chOff x="9721600" y="18163646"/>
                  <a:chExt cx="934950" cy="634889"/>
                </a:xfrm>
              </xdr:grpSpPr>
              <xdr:sp macro="" textlink="$O$11">
                <xdr:nvSpPr>
                  <xdr:cNvPr id="182" name="Rectángulo redondeado 181">
                    <a:extLst>
                      <a:ext uri="{FF2B5EF4-FFF2-40B4-BE49-F238E27FC236}">
                        <a16:creationId xmlns:a16="http://schemas.microsoft.com/office/drawing/2014/main" id="{00000000-0008-0000-0A00-000018000000}"/>
                      </a:ext>
                    </a:extLst>
                  </xdr:cNvPr>
                  <xdr:cNvSpPr/>
                </xdr:nvSpPr>
                <xdr:spPr>
                  <a:xfrm>
                    <a:off x="9721600" y="18163646"/>
                    <a:ext cx="93495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45F665B-B594-4379-AE59-E6872E3D2C9D}" type="TxLink">
                      <a:rPr lang="en-US" sz="1600" b="1" i="0" u="none" strike="noStrike">
                        <a:solidFill>
                          <a:srgbClr val="FF0000"/>
                        </a:solidFill>
                        <a:latin typeface="Century Gothic"/>
                      </a:rPr>
                      <a:pPr algn="ctr"/>
                      <a:t>50,0%</a:t>
                    </a:fld>
                    <a:endParaRPr lang="es-CO" sz="1800">
                      <a:solidFill>
                        <a:srgbClr val="FF0000"/>
                      </a:solidFill>
                    </a:endParaRPr>
                  </a:p>
                </xdr:txBody>
              </xdr:sp>
              <xdr:grpSp>
                <xdr:nvGrpSpPr>
                  <xdr:cNvPr id="788" name="Grupo 787"/>
                  <xdr:cNvGrpSpPr/>
                </xdr:nvGrpSpPr>
                <xdr:grpSpPr>
                  <a:xfrm>
                    <a:off x="9795132" y="18526392"/>
                    <a:ext cx="707300" cy="272143"/>
                    <a:chOff x="9795132" y="18526392"/>
                    <a:chExt cx="707300" cy="272143"/>
                  </a:xfrm>
                </xdr:grpSpPr>
                <xdr:sp macro="" textlink="$N$11">
                  <xdr:nvSpPr>
                    <xdr:cNvPr id="177" name="Rectángulo 176">
                      <a:extLst>
                        <a:ext uri="{FF2B5EF4-FFF2-40B4-BE49-F238E27FC236}">
                          <a16:creationId xmlns:a16="http://schemas.microsoft.com/office/drawing/2014/main" id="{00000000-0008-0000-0A00-000040010000}"/>
                        </a:ext>
                      </a:extLst>
                    </xdr:cNvPr>
                    <xdr:cNvSpPr/>
                  </xdr:nvSpPr>
                  <xdr:spPr>
                    <a:xfrm>
                      <a:off x="9795132" y="18526392"/>
                      <a:ext cx="431515"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E953BC-1753-4935-9202-7E4B1B8CA915}" type="TxLink">
                        <a:rPr lang="en-US" sz="1100" b="1" i="0" u="none" strike="noStrike">
                          <a:solidFill>
                            <a:srgbClr val="FF0000"/>
                          </a:solidFill>
                          <a:latin typeface="Century Gothic"/>
                        </a:rPr>
                        <a:pPr algn="ctr"/>
                        <a:t>2</a:t>
                      </a:fld>
                      <a:endParaRPr lang="es-CO" sz="1800" b="1">
                        <a:solidFill>
                          <a:srgbClr val="FF0000"/>
                        </a:solidFill>
                      </a:endParaRPr>
                    </a:p>
                  </xdr:txBody>
                </xdr:sp>
                <xdr:sp macro="" textlink="$L$11">
                  <xdr:nvSpPr>
                    <xdr:cNvPr id="178" name="Rectángulo 177">
                      <a:extLst>
                        <a:ext uri="{FF2B5EF4-FFF2-40B4-BE49-F238E27FC236}">
                          <a16:creationId xmlns:a16="http://schemas.microsoft.com/office/drawing/2014/main" id="{00000000-0008-0000-0A00-000041010000}"/>
                        </a:ext>
                      </a:extLst>
                    </xdr:cNvPr>
                    <xdr:cNvSpPr/>
                  </xdr:nvSpPr>
                  <xdr:spPr>
                    <a:xfrm>
                      <a:off x="10070917" y="18526392"/>
                      <a:ext cx="431515"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60BBF8-502D-45C2-BAA0-A7B0D1A5FEB6}" type="TxLink">
                        <a:rPr lang="en-US" sz="1100" b="1" i="0" u="none" strike="noStrike">
                          <a:solidFill>
                            <a:srgbClr val="FF0000"/>
                          </a:solidFill>
                          <a:latin typeface="Century Gothic"/>
                        </a:rPr>
                        <a:pPr algn="ctr"/>
                        <a:t>4</a:t>
                      </a:fld>
                      <a:endParaRPr lang="es-CO" sz="1800" b="1">
                        <a:solidFill>
                          <a:srgbClr val="FF0000"/>
                        </a:solidFill>
                      </a:endParaRPr>
                    </a:p>
                  </xdr:txBody>
                </xdr:sp>
              </xdr:grpSp>
              <xdr:sp macro="" textlink="">
                <xdr:nvSpPr>
                  <xdr:cNvPr id="179" name="CuadroTexto 178">
                    <a:extLst>
                      <a:ext uri="{FF2B5EF4-FFF2-40B4-BE49-F238E27FC236}">
                        <a16:creationId xmlns:a16="http://schemas.microsoft.com/office/drawing/2014/main" id="{00000000-0008-0000-0A00-0000E4010000}"/>
                      </a:ext>
                    </a:extLst>
                  </xdr:cNvPr>
                  <xdr:cNvSpPr txBox="1"/>
                </xdr:nvSpPr>
                <xdr:spPr>
                  <a:xfrm>
                    <a:off x="9759539" y="18514186"/>
                    <a:ext cx="76998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95" name="Grupo 794"/>
              <xdr:cNvGrpSpPr/>
            </xdr:nvGrpSpPr>
            <xdr:grpSpPr>
              <a:xfrm>
                <a:off x="648316" y="23681872"/>
                <a:ext cx="934949" cy="828000"/>
                <a:chOff x="1178995" y="18239014"/>
                <a:chExt cx="934949" cy="828000"/>
              </a:xfrm>
            </xdr:grpSpPr>
            <xdr:sp macro="" textlink="">
              <xdr:nvSpPr>
                <xdr:cNvPr id="794" name="Elipse 793"/>
                <xdr:cNvSpPr/>
              </xdr:nvSpPr>
              <xdr:spPr>
                <a:xfrm>
                  <a:off x="1189263" y="18239014"/>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13">
              <xdr:nvSpPr>
                <xdr:cNvPr id="166" name="Rectángulo redondeado 165">
                  <a:extLst>
                    <a:ext uri="{FF2B5EF4-FFF2-40B4-BE49-F238E27FC236}">
                      <a16:creationId xmlns:a16="http://schemas.microsoft.com/office/drawing/2014/main" id="{00000000-0008-0000-0A00-000020000000}"/>
                    </a:ext>
                  </a:extLst>
                </xdr:cNvPr>
                <xdr:cNvSpPr/>
              </xdr:nvSpPr>
              <xdr:spPr>
                <a:xfrm>
                  <a:off x="1178995" y="18277950"/>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6890802-BC4A-4034-99D4-519BEE554BFA}" type="TxLink">
                    <a:rPr lang="en-US" sz="1600" b="1" i="0" u="none" strike="noStrike">
                      <a:solidFill>
                        <a:srgbClr val="FF0000"/>
                      </a:solidFill>
                      <a:latin typeface="Century Gothic"/>
                    </a:rPr>
                    <a:pPr algn="ctr"/>
                    <a:t>33,3%</a:t>
                  </a:fld>
                  <a:endParaRPr lang="es-CO" sz="1800">
                    <a:solidFill>
                      <a:srgbClr val="FF0000"/>
                    </a:solidFill>
                  </a:endParaRPr>
                </a:p>
              </xdr:txBody>
            </xdr:sp>
            <xdr:grpSp>
              <xdr:nvGrpSpPr>
                <xdr:cNvPr id="160" name="Grupo 159">
                  <a:extLst>
                    <a:ext uri="{FF2B5EF4-FFF2-40B4-BE49-F238E27FC236}">
                      <a16:creationId xmlns:a16="http://schemas.microsoft.com/office/drawing/2014/main" id="{00000000-0008-0000-0A00-0000EC010000}"/>
                    </a:ext>
                  </a:extLst>
                </xdr:cNvPr>
                <xdr:cNvGrpSpPr/>
              </xdr:nvGrpSpPr>
              <xdr:grpSpPr>
                <a:xfrm>
                  <a:off x="1191308" y="18633568"/>
                  <a:ext cx="769986" cy="272144"/>
                  <a:chOff x="8330530" y="13560566"/>
                  <a:chExt cx="770852" cy="272144"/>
                </a:xfrm>
              </xdr:grpSpPr>
              <xdr:sp macro="" textlink="$N$13">
                <xdr:nvSpPr>
                  <xdr:cNvPr id="161" name="Rectángulo 160">
                    <a:extLst>
                      <a:ext uri="{FF2B5EF4-FFF2-40B4-BE49-F238E27FC236}">
                        <a16:creationId xmlns:a16="http://schemas.microsoft.com/office/drawing/2014/main" id="{00000000-0008-0000-0A00-000044010000}"/>
                      </a:ext>
                    </a:extLst>
                  </xdr:cNvPr>
                  <xdr:cNvSpPr/>
                </xdr:nvSpPr>
                <xdr:spPr>
                  <a:xfrm>
                    <a:off x="8371601" y="1356056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6ED8739-23E1-427F-B12C-06E95B1BB24C}" type="TxLink">
                      <a:rPr lang="en-US" sz="1100" b="1" i="0" u="none" strike="noStrike">
                        <a:solidFill>
                          <a:srgbClr val="FF0000"/>
                        </a:solidFill>
                        <a:latin typeface="Century Gothic"/>
                      </a:rPr>
                      <a:pPr algn="ctr"/>
                      <a:t>2</a:t>
                    </a:fld>
                    <a:endParaRPr lang="es-CO" sz="2400" b="1">
                      <a:solidFill>
                        <a:srgbClr val="FF0000"/>
                      </a:solidFill>
                    </a:endParaRPr>
                  </a:p>
                </xdr:txBody>
              </xdr:sp>
              <xdr:sp macro="" textlink="$L$13">
                <xdr:nvSpPr>
                  <xdr:cNvPr id="162" name="Rectángulo 161">
                    <a:extLst>
                      <a:ext uri="{FF2B5EF4-FFF2-40B4-BE49-F238E27FC236}">
                        <a16:creationId xmlns:a16="http://schemas.microsoft.com/office/drawing/2014/main" id="{00000000-0008-0000-0A00-000045010000}"/>
                      </a:ext>
                    </a:extLst>
                  </xdr:cNvPr>
                  <xdr:cNvSpPr/>
                </xdr:nvSpPr>
                <xdr:spPr>
                  <a:xfrm>
                    <a:off x="8647695" y="135605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C5A287-A2C2-43F4-8A6F-5EA2E577CA93}" type="TxLink">
                      <a:rPr lang="en-US" sz="1100" b="1" i="0" u="none" strike="noStrike">
                        <a:solidFill>
                          <a:srgbClr val="FF0000"/>
                        </a:solidFill>
                        <a:latin typeface="Century Gothic"/>
                      </a:rPr>
                      <a:pPr algn="ctr"/>
                      <a:t>6</a:t>
                    </a:fld>
                    <a:endParaRPr lang="es-CO" sz="2400" b="1">
                      <a:solidFill>
                        <a:srgbClr val="FF0000"/>
                      </a:solidFill>
                    </a:endParaRPr>
                  </a:p>
                </xdr:txBody>
              </xdr:sp>
              <xdr:sp macro="" textlink="">
                <xdr:nvSpPr>
                  <xdr:cNvPr id="163" name="CuadroTexto 162">
                    <a:extLst>
                      <a:ext uri="{FF2B5EF4-FFF2-40B4-BE49-F238E27FC236}">
                        <a16:creationId xmlns:a16="http://schemas.microsoft.com/office/drawing/2014/main" id="{00000000-0008-0000-0A00-0000EB010000}"/>
                      </a:ext>
                    </a:extLst>
                  </xdr:cNvPr>
                  <xdr:cNvSpPr txBox="1"/>
                </xdr:nvSpPr>
                <xdr:spPr>
                  <a:xfrm>
                    <a:off x="8330530" y="135643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797" name="Grupo 796"/>
              <xdr:cNvGrpSpPr/>
            </xdr:nvGrpSpPr>
            <xdr:grpSpPr>
              <a:xfrm>
                <a:off x="8661872" y="22389193"/>
                <a:ext cx="934949" cy="828000"/>
                <a:chOff x="2334551" y="16823872"/>
                <a:chExt cx="934949" cy="828000"/>
              </a:xfrm>
            </xdr:grpSpPr>
            <xdr:sp macro="" textlink="">
              <xdr:nvSpPr>
                <xdr:cNvPr id="796" name="Elipse 795"/>
                <xdr:cNvSpPr/>
              </xdr:nvSpPr>
              <xdr:spPr>
                <a:xfrm>
                  <a:off x="2373085" y="16823872"/>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14">
              <xdr:nvSpPr>
                <xdr:cNvPr id="158" name="Rectángulo redondeado 157">
                  <a:extLst>
                    <a:ext uri="{FF2B5EF4-FFF2-40B4-BE49-F238E27FC236}">
                      <a16:creationId xmlns:a16="http://schemas.microsoft.com/office/drawing/2014/main" id="{00000000-0008-0000-0A00-000024000000}"/>
                    </a:ext>
                  </a:extLst>
                </xdr:cNvPr>
                <xdr:cNvSpPr/>
              </xdr:nvSpPr>
              <xdr:spPr>
                <a:xfrm>
                  <a:off x="2334551" y="16879138"/>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F3AC10-9984-42F8-9A01-BE32B94A9C65}" type="TxLink">
                    <a:rPr lang="en-US" sz="1600" b="1" i="0" u="none" strike="noStrike">
                      <a:solidFill>
                        <a:srgbClr val="FF0000"/>
                      </a:solidFill>
                      <a:latin typeface="Century Gothic"/>
                    </a:rPr>
                    <a:pPr algn="ctr"/>
                    <a:t>22,2%</a:t>
                  </a:fld>
                  <a:endParaRPr lang="es-CO" sz="1800">
                    <a:solidFill>
                      <a:srgbClr val="FF0000"/>
                    </a:solidFill>
                  </a:endParaRPr>
                </a:p>
              </xdr:txBody>
            </xdr:sp>
            <xdr:grpSp>
              <xdr:nvGrpSpPr>
                <xdr:cNvPr id="152" name="Grupo 151">
                  <a:extLst>
                    <a:ext uri="{FF2B5EF4-FFF2-40B4-BE49-F238E27FC236}">
                      <a16:creationId xmlns:a16="http://schemas.microsoft.com/office/drawing/2014/main" id="{00000000-0008-0000-0A00-0000EF010000}"/>
                    </a:ext>
                  </a:extLst>
                </xdr:cNvPr>
                <xdr:cNvGrpSpPr/>
              </xdr:nvGrpSpPr>
              <xdr:grpSpPr>
                <a:xfrm>
                  <a:off x="2381655" y="17240225"/>
                  <a:ext cx="769986" cy="287408"/>
                  <a:chOff x="10230583" y="13541544"/>
                  <a:chExt cx="770852" cy="287408"/>
                </a:xfrm>
              </xdr:grpSpPr>
              <xdr:sp macro="" textlink="$N$14">
                <xdr:nvSpPr>
                  <xdr:cNvPr id="153" name="Rectángulo 152">
                    <a:extLst>
                      <a:ext uri="{FF2B5EF4-FFF2-40B4-BE49-F238E27FC236}">
                        <a16:creationId xmlns:a16="http://schemas.microsoft.com/office/drawing/2014/main" id="{00000000-0008-0000-0A00-000046010000}"/>
                      </a:ext>
                    </a:extLst>
                  </xdr:cNvPr>
                  <xdr:cNvSpPr/>
                </xdr:nvSpPr>
                <xdr:spPr>
                  <a:xfrm>
                    <a:off x="10243446"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8B233F-90EE-4133-A7F7-3D32A5F47C51}" type="TxLink">
                      <a:rPr lang="en-US" sz="1100" b="1" i="0" u="none" strike="noStrike">
                        <a:solidFill>
                          <a:srgbClr val="FF0000"/>
                        </a:solidFill>
                        <a:latin typeface="Century Gothic"/>
                      </a:rPr>
                      <a:pPr algn="ctr"/>
                      <a:t>4</a:t>
                    </a:fld>
                    <a:endParaRPr lang="es-CO" sz="2800" b="1">
                      <a:solidFill>
                        <a:srgbClr val="FF0000"/>
                      </a:solidFill>
                    </a:endParaRPr>
                  </a:p>
                </xdr:txBody>
              </xdr:sp>
              <xdr:sp macro="" textlink="$L$14">
                <xdr:nvSpPr>
                  <xdr:cNvPr id="154" name="Rectángulo 153">
                    <a:extLst>
                      <a:ext uri="{FF2B5EF4-FFF2-40B4-BE49-F238E27FC236}">
                        <a16:creationId xmlns:a16="http://schemas.microsoft.com/office/drawing/2014/main" id="{00000000-0008-0000-0A00-000047010000}"/>
                      </a:ext>
                    </a:extLst>
                  </xdr:cNvPr>
                  <xdr:cNvSpPr/>
                </xdr:nvSpPr>
                <xdr:spPr>
                  <a:xfrm>
                    <a:off x="10545523" y="13556809"/>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668F58C-15F1-4CB0-BF63-895BE213D47D}" type="TxLink">
                      <a:rPr lang="en-US" sz="1100" b="1" i="0" u="none" strike="noStrike">
                        <a:solidFill>
                          <a:srgbClr val="FF0000"/>
                        </a:solidFill>
                        <a:latin typeface="Century Gothic"/>
                      </a:rPr>
                      <a:pPr algn="ctr"/>
                      <a:t>18</a:t>
                    </a:fld>
                    <a:endParaRPr lang="es-CO" sz="2800" b="1">
                      <a:solidFill>
                        <a:srgbClr val="FF0000"/>
                      </a:solidFill>
                    </a:endParaRPr>
                  </a:p>
                </xdr:txBody>
              </xdr:sp>
              <xdr:sp macro="" textlink="">
                <xdr:nvSpPr>
                  <xdr:cNvPr id="155" name="CuadroTexto 154">
                    <a:extLst>
                      <a:ext uri="{FF2B5EF4-FFF2-40B4-BE49-F238E27FC236}">
                        <a16:creationId xmlns:a16="http://schemas.microsoft.com/office/drawing/2014/main" id="{00000000-0008-0000-0A00-0000EE010000}"/>
                      </a:ext>
                    </a:extLst>
                  </xdr:cNvPr>
                  <xdr:cNvSpPr txBox="1"/>
                </xdr:nvSpPr>
                <xdr:spPr>
                  <a:xfrm>
                    <a:off x="10230583" y="1354154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00" name="Grupo 799"/>
              <xdr:cNvGrpSpPr/>
            </xdr:nvGrpSpPr>
            <xdr:grpSpPr>
              <a:xfrm>
                <a:off x="5302434" y="24624845"/>
                <a:ext cx="934950" cy="828000"/>
                <a:chOff x="5084722" y="24597631"/>
                <a:chExt cx="934950" cy="828000"/>
              </a:xfrm>
            </xdr:grpSpPr>
            <xdr:sp macro="" textlink="">
              <xdr:nvSpPr>
                <xdr:cNvPr id="778" name="Elipse 777"/>
                <xdr:cNvSpPr/>
              </xdr:nvSpPr>
              <xdr:spPr>
                <a:xfrm>
                  <a:off x="5119008" y="24597631"/>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17">
              <xdr:nvSpPr>
                <xdr:cNvPr id="134" name="Rectángulo redondeado 133">
                  <a:extLst>
                    <a:ext uri="{FF2B5EF4-FFF2-40B4-BE49-F238E27FC236}">
                      <a16:creationId xmlns:a16="http://schemas.microsoft.com/office/drawing/2014/main" id="{00000000-0008-0000-0A00-000030000000}"/>
                    </a:ext>
                  </a:extLst>
                </xdr:cNvPr>
                <xdr:cNvSpPr/>
              </xdr:nvSpPr>
              <xdr:spPr>
                <a:xfrm>
                  <a:off x="5084722" y="24673308"/>
                  <a:ext cx="93495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4DBF16E-EF0C-4682-AF2E-12DBDA345092}" type="TxLink">
                    <a:rPr lang="en-US" sz="1600" b="1" i="0" u="none" strike="noStrike">
                      <a:solidFill>
                        <a:srgbClr val="FF0000"/>
                      </a:solidFill>
                      <a:latin typeface="Century Gothic"/>
                    </a:rPr>
                    <a:pPr algn="ctr"/>
                    <a:t>80,0%</a:t>
                  </a:fld>
                  <a:endParaRPr lang="es-CO" sz="1800">
                    <a:solidFill>
                      <a:srgbClr val="FF0000"/>
                    </a:solidFill>
                  </a:endParaRPr>
                </a:p>
              </xdr:txBody>
            </xdr:sp>
            <xdr:grpSp>
              <xdr:nvGrpSpPr>
                <xdr:cNvPr id="128" name="Grupo 127">
                  <a:extLst>
                    <a:ext uri="{FF2B5EF4-FFF2-40B4-BE49-F238E27FC236}">
                      <a16:creationId xmlns:a16="http://schemas.microsoft.com/office/drawing/2014/main" id="{00000000-0008-0000-0A00-0000F8010000}"/>
                    </a:ext>
                  </a:extLst>
                </xdr:cNvPr>
                <xdr:cNvGrpSpPr/>
              </xdr:nvGrpSpPr>
              <xdr:grpSpPr>
                <a:xfrm>
                  <a:off x="5112273" y="25026908"/>
                  <a:ext cx="769986" cy="278567"/>
                  <a:chOff x="6452743" y="14320549"/>
                  <a:chExt cx="770852" cy="278567"/>
                </a:xfrm>
              </xdr:grpSpPr>
              <xdr:sp macro="" textlink="$N$17">
                <xdr:nvSpPr>
                  <xdr:cNvPr id="129" name="Rectángulo 128">
                    <a:extLst>
                      <a:ext uri="{FF2B5EF4-FFF2-40B4-BE49-F238E27FC236}">
                        <a16:creationId xmlns:a16="http://schemas.microsoft.com/office/drawing/2014/main" id="{00000000-0008-0000-0A00-00004C010000}"/>
                      </a:ext>
                    </a:extLst>
                  </xdr:cNvPr>
                  <xdr:cNvSpPr/>
                </xdr:nvSpPr>
                <xdr:spPr>
                  <a:xfrm>
                    <a:off x="6482448"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6114EA6-0E3F-4548-AD48-0C289838D0FE}" type="TxLink">
                      <a:rPr lang="en-US" sz="1100" b="1" i="0" u="none" strike="noStrike">
                        <a:solidFill>
                          <a:srgbClr val="FF0000"/>
                        </a:solidFill>
                        <a:latin typeface="Century Gothic"/>
                      </a:rPr>
                      <a:pPr algn="ctr"/>
                      <a:t>4</a:t>
                    </a:fld>
                    <a:endParaRPr lang="es-CO" sz="4000" b="1">
                      <a:solidFill>
                        <a:srgbClr val="FF0000"/>
                      </a:solidFill>
                    </a:endParaRPr>
                  </a:p>
                </xdr:txBody>
              </xdr:sp>
              <xdr:sp macro="" textlink="$L$17">
                <xdr:nvSpPr>
                  <xdr:cNvPr id="130" name="Rectángulo 129">
                    <a:extLst>
                      <a:ext uri="{FF2B5EF4-FFF2-40B4-BE49-F238E27FC236}">
                        <a16:creationId xmlns:a16="http://schemas.microsoft.com/office/drawing/2014/main" id="{00000000-0008-0000-0A00-00004D010000}"/>
                      </a:ext>
                    </a:extLst>
                  </xdr:cNvPr>
                  <xdr:cNvSpPr/>
                </xdr:nvSpPr>
                <xdr:spPr>
                  <a:xfrm>
                    <a:off x="6758543"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C4A922-5423-4A04-B932-B03DC46BD7A4}" type="TxLink">
                      <a:rPr lang="en-US" sz="1100" b="1" i="0" u="none" strike="noStrike">
                        <a:solidFill>
                          <a:srgbClr val="FF0000"/>
                        </a:solidFill>
                        <a:latin typeface="Century Gothic"/>
                      </a:rPr>
                      <a:pPr algn="ctr"/>
                      <a:t>5</a:t>
                    </a:fld>
                    <a:endParaRPr lang="es-CO" sz="4000" b="1">
                      <a:solidFill>
                        <a:srgbClr val="FF0000"/>
                      </a:solidFill>
                    </a:endParaRPr>
                  </a:p>
                </xdr:txBody>
              </xdr:sp>
              <xdr:sp macro="" textlink="">
                <xdr:nvSpPr>
                  <xdr:cNvPr id="131" name="CuadroTexto 130">
                    <a:extLst>
                      <a:ext uri="{FF2B5EF4-FFF2-40B4-BE49-F238E27FC236}">
                        <a16:creationId xmlns:a16="http://schemas.microsoft.com/office/drawing/2014/main" id="{00000000-0008-0000-0A00-0000F7010000}"/>
                      </a:ext>
                    </a:extLst>
                  </xdr:cNvPr>
                  <xdr:cNvSpPr txBox="1"/>
                </xdr:nvSpPr>
                <xdr:spPr>
                  <a:xfrm>
                    <a:off x="6452743" y="143205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02" name="Grupo 801"/>
              <xdr:cNvGrpSpPr/>
            </xdr:nvGrpSpPr>
            <xdr:grpSpPr>
              <a:xfrm>
                <a:off x="5277510" y="23679153"/>
                <a:ext cx="934949" cy="828000"/>
                <a:chOff x="11155796" y="21474796"/>
                <a:chExt cx="934949" cy="828000"/>
              </a:xfrm>
            </xdr:grpSpPr>
            <xdr:sp macro="" textlink="">
              <xdr:nvSpPr>
                <xdr:cNvPr id="777" name="Elipse 776"/>
                <xdr:cNvSpPr/>
              </xdr:nvSpPr>
              <xdr:spPr>
                <a:xfrm>
                  <a:off x="11187792" y="21474796"/>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O$18">
              <xdr:nvSpPr>
                <xdr:cNvPr id="126" name="Rectángulo redondeado 125">
                  <a:extLst>
                    <a:ext uri="{FF2B5EF4-FFF2-40B4-BE49-F238E27FC236}">
                      <a16:creationId xmlns:a16="http://schemas.microsoft.com/office/drawing/2014/main" id="{00000000-0008-0000-0A00-000034000000}"/>
                    </a:ext>
                  </a:extLst>
                </xdr:cNvPr>
                <xdr:cNvSpPr/>
              </xdr:nvSpPr>
              <xdr:spPr>
                <a:xfrm>
                  <a:off x="11155796" y="21532782"/>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F0EE6F0-D2BE-4C04-9381-5D073D7487E3}" type="TxLink">
                    <a:rPr lang="en-US" sz="1600" b="1" i="0" u="none" strike="noStrike">
                      <a:solidFill>
                        <a:srgbClr val="FF0000"/>
                      </a:solidFill>
                      <a:latin typeface="Century Gothic"/>
                    </a:rPr>
                    <a:pPr algn="ctr"/>
                    <a:t>66,7%</a:t>
                  </a:fld>
                  <a:endParaRPr lang="es-CO" sz="1800">
                    <a:solidFill>
                      <a:srgbClr val="FF0000"/>
                    </a:solidFill>
                  </a:endParaRPr>
                </a:p>
              </xdr:txBody>
            </xdr:sp>
            <xdr:grpSp>
              <xdr:nvGrpSpPr>
                <xdr:cNvPr id="120" name="Grupo 119">
                  <a:extLst>
                    <a:ext uri="{FF2B5EF4-FFF2-40B4-BE49-F238E27FC236}">
                      <a16:creationId xmlns:a16="http://schemas.microsoft.com/office/drawing/2014/main" id="{00000000-0008-0000-0A00-0000FB010000}"/>
                    </a:ext>
                  </a:extLst>
                </xdr:cNvPr>
                <xdr:cNvGrpSpPr/>
              </xdr:nvGrpSpPr>
              <xdr:grpSpPr>
                <a:xfrm>
                  <a:off x="11188832" y="21893866"/>
                  <a:ext cx="769986" cy="284690"/>
                  <a:chOff x="8340423" y="14317149"/>
                  <a:chExt cx="770852" cy="284690"/>
                </a:xfrm>
              </xdr:grpSpPr>
              <xdr:sp macro="" textlink="$N$18">
                <xdr:nvSpPr>
                  <xdr:cNvPr id="121" name="Rectángulo 120">
                    <a:extLst>
                      <a:ext uri="{FF2B5EF4-FFF2-40B4-BE49-F238E27FC236}">
                        <a16:creationId xmlns:a16="http://schemas.microsoft.com/office/drawing/2014/main" id="{00000000-0008-0000-0A00-00004E010000}"/>
                      </a:ext>
                    </a:extLst>
                  </xdr:cNvPr>
                  <xdr:cNvSpPr/>
                </xdr:nvSpPr>
                <xdr:spPr>
                  <a:xfrm>
                    <a:off x="8376562"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D8FD84E-6AD1-441D-9077-365A42E29A77}" type="TxLink">
                      <a:rPr lang="en-US" sz="1100" b="1" i="0" u="none" strike="noStrike">
                        <a:solidFill>
                          <a:srgbClr val="FF0000"/>
                        </a:solidFill>
                        <a:latin typeface="Century Gothic"/>
                      </a:rPr>
                      <a:pPr algn="ctr"/>
                      <a:t>2</a:t>
                    </a:fld>
                    <a:endParaRPr lang="es-CO" sz="4400" b="1">
                      <a:solidFill>
                        <a:srgbClr val="FF0000"/>
                      </a:solidFill>
                    </a:endParaRPr>
                  </a:p>
                </xdr:txBody>
              </xdr:sp>
              <xdr:sp macro="" textlink="$L$18">
                <xdr:nvSpPr>
                  <xdr:cNvPr id="122" name="Rectángulo 121">
                    <a:extLst>
                      <a:ext uri="{FF2B5EF4-FFF2-40B4-BE49-F238E27FC236}">
                        <a16:creationId xmlns:a16="http://schemas.microsoft.com/office/drawing/2014/main" id="{00000000-0008-0000-0A00-00004F010000}"/>
                      </a:ext>
                    </a:extLst>
                  </xdr:cNvPr>
                  <xdr:cNvSpPr/>
                </xdr:nvSpPr>
                <xdr:spPr>
                  <a:xfrm>
                    <a:off x="8652656"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7161BF-A4B8-46D4-816A-C00E0D05AEA2}" type="TxLink">
                      <a:rPr lang="en-US" sz="1100" b="1" i="0" u="none" strike="noStrike">
                        <a:solidFill>
                          <a:srgbClr val="FF0000"/>
                        </a:solidFill>
                        <a:latin typeface="Century Gothic"/>
                      </a:rPr>
                      <a:pPr algn="ctr"/>
                      <a:t>3</a:t>
                    </a:fld>
                    <a:endParaRPr lang="es-CO" sz="4400" b="1">
                      <a:solidFill>
                        <a:srgbClr val="FF0000"/>
                      </a:solidFill>
                    </a:endParaRPr>
                  </a:p>
                </xdr:txBody>
              </xdr:sp>
              <xdr:sp macro="" textlink="">
                <xdr:nvSpPr>
                  <xdr:cNvPr id="123" name="CuadroTexto 122">
                    <a:extLst>
                      <a:ext uri="{FF2B5EF4-FFF2-40B4-BE49-F238E27FC236}">
                        <a16:creationId xmlns:a16="http://schemas.microsoft.com/office/drawing/2014/main" id="{00000000-0008-0000-0A00-0000FA010000}"/>
                      </a:ext>
                    </a:extLst>
                  </xdr:cNvPr>
                  <xdr:cNvSpPr txBox="1"/>
                </xdr:nvSpPr>
                <xdr:spPr>
                  <a:xfrm>
                    <a:off x="8340423" y="1431714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grpSp>
    </xdr:grpSp>
    <xdr:clientData/>
  </xdr:twoCellAnchor>
  <xdr:twoCellAnchor editAs="absolute">
    <xdr:from>
      <xdr:col>13</xdr:col>
      <xdr:colOff>176893</xdr:colOff>
      <xdr:row>35</xdr:row>
      <xdr:rowOff>66779</xdr:rowOff>
    </xdr:from>
    <xdr:to>
      <xdr:col>23</xdr:col>
      <xdr:colOff>557894</xdr:colOff>
      <xdr:row>76</xdr:row>
      <xdr:rowOff>136070</xdr:rowOff>
    </xdr:to>
    <xdr:grpSp>
      <xdr:nvGrpSpPr>
        <xdr:cNvPr id="1076" name="Grupo 1075"/>
        <xdr:cNvGrpSpPr/>
      </xdr:nvGrpSpPr>
      <xdr:grpSpPr>
        <a:xfrm>
          <a:off x="11776226" y="5883379"/>
          <a:ext cx="11243735" cy="7359091"/>
          <a:chOff x="11430000" y="5999493"/>
          <a:chExt cx="10967358" cy="8437684"/>
        </a:xfrm>
      </xdr:grpSpPr>
      <xdr:grpSp>
        <xdr:nvGrpSpPr>
          <xdr:cNvPr id="479" name="Grupo 478">
            <a:extLst>
              <a:ext uri="{FF2B5EF4-FFF2-40B4-BE49-F238E27FC236}">
                <a16:creationId xmlns:a16="http://schemas.microsoft.com/office/drawing/2014/main" id="{00000000-0008-0000-0A00-00009F030000}"/>
              </a:ext>
            </a:extLst>
          </xdr:cNvPr>
          <xdr:cNvGrpSpPr/>
        </xdr:nvGrpSpPr>
        <xdr:grpSpPr>
          <a:xfrm>
            <a:off x="11499112" y="5999493"/>
            <a:ext cx="10892020" cy="828472"/>
            <a:chOff x="23474890" y="9420666"/>
            <a:chExt cx="10923595" cy="858519"/>
          </a:xfrm>
        </xdr:grpSpPr>
        <xdr:sp macro="" textlink="">
          <xdr:nvSpPr>
            <xdr:cNvPr id="709" name="Rectángulo 708">
              <a:extLst>
                <a:ext uri="{FF2B5EF4-FFF2-40B4-BE49-F238E27FC236}">
                  <a16:creationId xmlns:a16="http://schemas.microsoft.com/office/drawing/2014/main" id="{00000000-0008-0000-0A00-00007A030000}"/>
                </a:ext>
              </a:extLst>
            </xdr:cNvPr>
            <xdr:cNvSpPr/>
          </xdr:nvSpPr>
          <xdr:spPr>
            <a:xfrm>
              <a:off x="23474890" y="9420678"/>
              <a:ext cx="9967123" cy="858507"/>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tx1"/>
                  </a:solidFill>
                  <a:latin typeface="Century Gothic" panose="020B0502020202020204" pitchFamily="34" charset="0"/>
                </a:rPr>
                <a:t>PROPORCIÓN DE ACCIONES DE MEJORA CUMPLIDAS DE LAS AUDITORÍAS CON ENFOQUE EN RIESGOS, ESE METROSALUD, 2019 - 2023</a:t>
              </a:r>
            </a:p>
          </xdr:txBody>
        </xdr:sp>
        <xdr:grpSp>
          <xdr:nvGrpSpPr>
            <xdr:cNvPr id="710" name="Grupo 709">
              <a:extLst>
                <a:ext uri="{FF2B5EF4-FFF2-40B4-BE49-F238E27FC236}">
                  <a16:creationId xmlns:a16="http://schemas.microsoft.com/office/drawing/2014/main" id="{00000000-0008-0000-0A00-00007B030000}"/>
                </a:ext>
              </a:extLst>
            </xdr:cNvPr>
            <xdr:cNvGrpSpPr/>
          </xdr:nvGrpSpPr>
          <xdr:grpSpPr>
            <a:xfrm>
              <a:off x="33484095" y="9420666"/>
              <a:ext cx="914390" cy="858506"/>
              <a:chOff x="21875553" y="10589079"/>
              <a:chExt cx="913163" cy="842845"/>
            </a:xfrm>
          </xdr:grpSpPr>
          <xdr:sp macro="" textlink="$R$32">
            <xdr:nvSpPr>
              <xdr:cNvPr id="711" name="Rectángulo 710">
                <a:extLst>
                  <a:ext uri="{FF2B5EF4-FFF2-40B4-BE49-F238E27FC236}">
                    <a16:creationId xmlns:a16="http://schemas.microsoft.com/office/drawing/2014/main" id="{00000000-0008-0000-0A00-00007C030000}"/>
                  </a:ext>
                </a:extLst>
              </xdr:cNvPr>
              <xdr:cNvSpPr/>
            </xdr:nvSpPr>
            <xdr:spPr>
              <a:xfrm>
                <a:off x="21875553"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85D49E2-9417-4908-B95E-0920E68470EF}" type="TxLink">
                  <a:rPr lang="en-US" sz="2000" b="1" i="0" u="none" strike="noStrike">
                    <a:solidFill>
                      <a:srgbClr val="FF0000"/>
                    </a:solidFill>
                    <a:latin typeface="Century Gothic"/>
                  </a:rPr>
                  <a:pPr algn="ctr"/>
                  <a:t>29,5%</a:t>
                </a:fld>
                <a:endParaRPr lang="es-CO" sz="13800">
                  <a:solidFill>
                    <a:srgbClr val="FF0000"/>
                  </a:solidFill>
                </a:endParaRPr>
              </a:p>
            </xdr:txBody>
          </xdr:sp>
          <xdr:grpSp>
            <xdr:nvGrpSpPr>
              <xdr:cNvPr id="712" name="Grupo 711">
                <a:extLst>
                  <a:ext uri="{FF2B5EF4-FFF2-40B4-BE49-F238E27FC236}">
                    <a16:creationId xmlns:a16="http://schemas.microsoft.com/office/drawing/2014/main" id="{00000000-0008-0000-0A00-00007D030000}"/>
                  </a:ext>
                </a:extLst>
              </xdr:cNvPr>
              <xdr:cNvGrpSpPr/>
            </xdr:nvGrpSpPr>
            <xdr:grpSpPr>
              <a:xfrm>
                <a:off x="21876503" y="11129219"/>
                <a:ext cx="898782" cy="285388"/>
                <a:chOff x="21876503" y="11129219"/>
                <a:chExt cx="898782" cy="285388"/>
              </a:xfrm>
            </xdr:grpSpPr>
            <xdr:sp macro="" textlink="$Q$32">
              <xdr:nvSpPr>
                <xdr:cNvPr id="713" name="Rectángulo 712">
                  <a:extLst>
                    <a:ext uri="{FF2B5EF4-FFF2-40B4-BE49-F238E27FC236}">
                      <a16:creationId xmlns:a16="http://schemas.microsoft.com/office/drawing/2014/main" id="{00000000-0008-0000-0A00-00007E03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654568F-49CB-4CC2-84E5-D5DBEDF33A80}" type="TxLink">
                    <a:rPr lang="en-US" sz="1100" b="1" i="0" u="none" strike="noStrike">
                      <a:solidFill>
                        <a:srgbClr val="FF0000"/>
                      </a:solidFill>
                      <a:latin typeface="Century Gothic"/>
                    </a:rPr>
                    <a:pPr algn="ctr"/>
                    <a:t>72</a:t>
                  </a:fld>
                  <a:endParaRPr lang="es-CO" sz="1100">
                    <a:solidFill>
                      <a:srgbClr val="FF0000"/>
                    </a:solidFill>
                  </a:endParaRPr>
                </a:p>
              </xdr:txBody>
            </xdr:sp>
            <xdr:sp macro="" textlink="">
              <xdr:nvSpPr>
                <xdr:cNvPr id="714" name="CuadroTexto 713">
                  <a:extLst>
                    <a:ext uri="{FF2B5EF4-FFF2-40B4-BE49-F238E27FC236}">
                      <a16:creationId xmlns:a16="http://schemas.microsoft.com/office/drawing/2014/main" id="{00000000-0008-0000-0A00-00007F030000}"/>
                    </a:ext>
                  </a:extLst>
                </xdr:cNvPr>
                <xdr:cNvSpPr txBox="1"/>
              </xdr:nvSpPr>
              <xdr:spPr>
                <a:xfrm>
                  <a:off x="21876503" y="11129219"/>
                  <a:ext cx="898782"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0000"/>
                      </a:solidFill>
                      <a:latin typeface="Century Gothic" panose="020B0502020202020204" pitchFamily="34" charset="0"/>
                    </a:rPr>
                    <a:t>(       /  </a:t>
                  </a:r>
                  <a:r>
                    <a:rPr lang="es-CO" sz="1100" i="0" baseline="0">
                      <a:solidFill>
                        <a:srgbClr val="FF0000"/>
                      </a:solidFill>
                      <a:latin typeface="Century Gothic" panose="020B0502020202020204" pitchFamily="34" charset="0"/>
                    </a:rPr>
                    <a:t>      </a:t>
                  </a:r>
                  <a:r>
                    <a:rPr lang="es-CO" sz="1100" i="0">
                      <a:solidFill>
                        <a:srgbClr val="FF0000"/>
                      </a:solidFill>
                      <a:latin typeface="Century Gothic" panose="020B0502020202020204" pitchFamily="34" charset="0"/>
                    </a:rPr>
                    <a:t>)</a:t>
                  </a:r>
                </a:p>
              </xdr:txBody>
            </xdr:sp>
            <xdr:sp macro="" textlink="$X$32">
              <xdr:nvSpPr>
                <xdr:cNvPr id="715" name="Rectángulo 714">
                  <a:extLst>
                    <a:ext uri="{FF2B5EF4-FFF2-40B4-BE49-F238E27FC236}">
                      <a16:creationId xmlns:a16="http://schemas.microsoft.com/office/drawing/2014/main" id="{00000000-0008-0000-0A00-00008003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4573DAD-11B7-43CA-9A68-7B4FA7F83F37}" type="TxLink">
                    <a:rPr lang="en-US" sz="1100" b="1" i="0" u="none" strike="noStrike">
                      <a:solidFill>
                        <a:srgbClr val="FF0000"/>
                      </a:solidFill>
                      <a:latin typeface="Century Gothic"/>
                    </a:rPr>
                    <a:pPr algn="ctr"/>
                    <a:t>244</a:t>
                  </a:fld>
                  <a:endParaRPr lang="es-CO" sz="1100">
                    <a:solidFill>
                      <a:srgbClr val="FF0000"/>
                    </a:solidFill>
                  </a:endParaRPr>
                </a:p>
              </xdr:txBody>
            </xdr:sp>
          </xdr:grpSp>
        </xdr:grpSp>
      </xdr:grpSp>
      <xdr:grpSp>
        <xdr:nvGrpSpPr>
          <xdr:cNvPr id="834" name="Grupo 833"/>
          <xdr:cNvGrpSpPr/>
        </xdr:nvGrpSpPr>
        <xdr:grpSpPr>
          <a:xfrm>
            <a:off x="11430000" y="6939642"/>
            <a:ext cx="10967358" cy="7497535"/>
            <a:chOff x="231321" y="10395861"/>
            <a:chExt cx="10967358" cy="7497535"/>
          </a:xfrm>
        </xdr:grpSpPr>
        <xdr:sp macro="" textlink="">
          <xdr:nvSpPr>
            <xdr:cNvPr id="835" name="Rectángulo redondeado 834">
              <a:extLst>
                <a:ext uri="{FF2B5EF4-FFF2-40B4-BE49-F238E27FC236}">
                  <a16:creationId xmlns:a16="http://schemas.microsoft.com/office/drawing/2014/main" id="{00000000-0008-0000-0A00-0000B0000000}"/>
                </a:ext>
              </a:extLst>
            </xdr:cNvPr>
            <xdr:cNvSpPr/>
          </xdr:nvSpPr>
          <xdr:spPr>
            <a:xfrm>
              <a:off x="231321" y="10395861"/>
              <a:ext cx="10967358" cy="7497535"/>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36" name="Grupo 835"/>
            <xdr:cNvGrpSpPr/>
          </xdr:nvGrpSpPr>
          <xdr:grpSpPr>
            <a:xfrm>
              <a:off x="581921" y="10491105"/>
              <a:ext cx="10172289" cy="7102932"/>
              <a:chOff x="364207" y="18383247"/>
              <a:chExt cx="10172289" cy="7102932"/>
            </a:xfrm>
          </xdr:grpSpPr>
          <xdr:grpSp>
            <xdr:nvGrpSpPr>
              <xdr:cNvPr id="837" name="Grupo 836"/>
              <xdr:cNvGrpSpPr/>
            </xdr:nvGrpSpPr>
            <xdr:grpSpPr>
              <a:xfrm>
                <a:off x="1142999" y="18383250"/>
                <a:ext cx="8597623" cy="7102929"/>
                <a:chOff x="2716415" y="395589"/>
                <a:chExt cx="6808905" cy="6039795"/>
              </a:xfrm>
            </xdr:grpSpPr>
            <xdr:sp macro="" textlink="">
              <xdr:nvSpPr>
                <xdr:cNvPr id="930" name="Rectángulo redondeado 929"/>
                <xdr:cNvSpPr/>
              </xdr:nvSpPr>
              <xdr:spPr>
                <a:xfrm>
                  <a:off x="5240215" y="395589"/>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600" b="1">
                      <a:solidFill>
                        <a:srgbClr val="045F2C"/>
                      </a:solidFill>
                      <a:latin typeface="Century Gothic" panose="020B0502020202020204" pitchFamily="34" charset="0"/>
                    </a:rPr>
                    <a:t>Gerencia</a:t>
                  </a:r>
                  <a:endParaRPr lang="es-CO" sz="1600" b="1">
                    <a:solidFill>
                      <a:srgbClr val="045F2C"/>
                    </a:solidFill>
                    <a:latin typeface="Century Gothic" panose="020B0502020202020204" pitchFamily="34" charset="0"/>
                  </a:endParaRPr>
                </a:p>
              </xdr:txBody>
            </xdr:sp>
            <xdr:cxnSp macro="">
              <xdr:nvCxnSpPr>
                <xdr:cNvPr id="931" name="Conector recto 930"/>
                <xdr:cNvCxnSpPr>
                  <a:endCxn id="930" idx="2"/>
                </xdr:cNvCxnSpPr>
              </xdr:nvCxnSpPr>
              <xdr:spPr>
                <a:xfrm flipV="1">
                  <a:off x="6150218" y="1072597"/>
                  <a:ext cx="1" cy="3061168"/>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sp macro="" textlink="">
              <xdr:nvSpPr>
                <xdr:cNvPr id="932" name="Rectángulo redondeado 931"/>
                <xdr:cNvSpPr/>
              </xdr:nvSpPr>
              <xdr:spPr>
                <a:xfrm>
                  <a:off x="2716415" y="1700480"/>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Asesora de Planeación y Desarrollo Organizacional</a:t>
                  </a:r>
                  <a:endParaRPr lang="es-CO" sz="1400" b="1">
                    <a:solidFill>
                      <a:srgbClr val="045F2C"/>
                    </a:solidFill>
                    <a:latin typeface="Century Gothic" panose="020B0502020202020204" pitchFamily="34" charset="0"/>
                  </a:endParaRPr>
                </a:p>
              </xdr:txBody>
            </xdr:sp>
            <xdr:sp macro="" textlink="">
              <xdr:nvSpPr>
                <xdr:cNvPr id="933" name="Rectángulo redondeado 932"/>
                <xdr:cNvSpPr/>
              </xdr:nvSpPr>
              <xdr:spPr>
                <a:xfrm>
                  <a:off x="2716415" y="2449208"/>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Jurídica</a:t>
                  </a:r>
                  <a:endParaRPr lang="es-CO" sz="1400" b="1">
                    <a:solidFill>
                      <a:srgbClr val="045F2C"/>
                    </a:solidFill>
                    <a:latin typeface="Century Gothic" panose="020B0502020202020204" pitchFamily="34" charset="0"/>
                  </a:endParaRPr>
                </a:p>
              </xdr:txBody>
            </xdr:sp>
            <xdr:sp macro="" textlink="">
              <xdr:nvSpPr>
                <xdr:cNvPr id="934" name="Rectángulo redondeado 933"/>
                <xdr:cNvSpPr/>
              </xdr:nvSpPr>
              <xdr:spPr>
                <a:xfrm>
                  <a:off x="7545326" y="1337912"/>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de Salud Pública y Gestión Territorial</a:t>
                  </a:r>
                  <a:endParaRPr lang="es-CO" sz="1400" b="1">
                    <a:solidFill>
                      <a:srgbClr val="045F2C"/>
                    </a:solidFill>
                    <a:latin typeface="Century Gothic" panose="020B0502020202020204" pitchFamily="34" charset="0"/>
                  </a:endParaRPr>
                </a:p>
              </xdr:txBody>
            </xdr:sp>
            <xdr:sp macro="" textlink="">
              <xdr:nvSpPr>
                <xdr:cNvPr id="935" name="Rectángulo redondeado 934"/>
                <xdr:cNvSpPr/>
              </xdr:nvSpPr>
              <xdr:spPr>
                <a:xfrm>
                  <a:off x="7545326" y="2068911"/>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de Control Interno y Evaluación</a:t>
                  </a:r>
                  <a:endParaRPr lang="es-CO" sz="1400" b="1">
                    <a:solidFill>
                      <a:srgbClr val="045F2C"/>
                    </a:solidFill>
                    <a:latin typeface="Century Gothic" panose="020B0502020202020204" pitchFamily="34" charset="0"/>
                  </a:endParaRPr>
                </a:p>
              </xdr:txBody>
            </xdr:sp>
            <xdr:sp macro="" textlink="">
              <xdr:nvSpPr>
                <xdr:cNvPr id="936" name="Rectángulo redondeado 935"/>
                <xdr:cNvSpPr/>
              </xdr:nvSpPr>
              <xdr:spPr>
                <a:xfrm>
                  <a:off x="7545326" y="2799909"/>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de Control Interno Disciplinario</a:t>
                  </a:r>
                  <a:endParaRPr lang="es-CO" sz="1400" b="1">
                    <a:solidFill>
                      <a:srgbClr val="045F2C"/>
                    </a:solidFill>
                    <a:latin typeface="Century Gothic" panose="020B0502020202020204" pitchFamily="34" charset="0"/>
                  </a:endParaRPr>
                </a:p>
              </xdr:txBody>
            </xdr:sp>
            <xdr:sp macro="" textlink="">
              <xdr:nvSpPr>
                <xdr:cNvPr id="937" name="Rectángulo redondeado 936"/>
                <xdr:cNvSpPr/>
              </xdr:nvSpPr>
              <xdr:spPr>
                <a:xfrm>
                  <a:off x="3509029" y="3795875"/>
                  <a:ext cx="1440000"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Subgerencia Red de Servicios</a:t>
                  </a:r>
                  <a:endParaRPr lang="es-CO" sz="1400" b="1">
                    <a:solidFill>
                      <a:srgbClr val="045F2C"/>
                    </a:solidFill>
                    <a:latin typeface="Century Gothic" panose="020B0502020202020204" pitchFamily="34" charset="0"/>
                  </a:endParaRPr>
                </a:p>
              </xdr:txBody>
            </xdr:sp>
            <xdr:sp macro="" textlink="">
              <xdr:nvSpPr>
                <xdr:cNvPr id="938" name="Rectángulo redondeado 937"/>
                <xdr:cNvSpPr/>
              </xdr:nvSpPr>
              <xdr:spPr>
                <a:xfrm>
                  <a:off x="7327701" y="3795875"/>
                  <a:ext cx="1440000"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Subgerencia  Financiera y Administrativa</a:t>
                  </a:r>
                  <a:endParaRPr lang="es-CO" sz="1400" b="1">
                    <a:solidFill>
                      <a:srgbClr val="045F2C"/>
                    </a:solidFill>
                    <a:latin typeface="Century Gothic" panose="020B0502020202020204" pitchFamily="34" charset="0"/>
                  </a:endParaRPr>
                </a:p>
              </xdr:txBody>
            </xdr:sp>
            <xdr:sp macro="" textlink="">
              <xdr:nvSpPr>
                <xdr:cNvPr id="939" name="Rectángulo redondeado 938"/>
                <xdr:cNvSpPr/>
              </xdr:nvSpPr>
              <xdr:spPr>
                <a:xfrm>
                  <a:off x="2885721" y="4912325"/>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 de Venta de Servicios</a:t>
                  </a:r>
                  <a:endParaRPr lang="es-CO" sz="1400" b="1">
                    <a:solidFill>
                      <a:srgbClr val="045F2C"/>
                    </a:solidFill>
                    <a:latin typeface="Century Gothic" panose="020B0502020202020204" pitchFamily="34" charset="0"/>
                  </a:endParaRPr>
                </a:p>
              </xdr:txBody>
            </xdr:sp>
            <xdr:sp macro="" textlink="">
              <xdr:nvSpPr>
                <xdr:cNvPr id="940" name="Rectángulo redondeado 939"/>
                <xdr:cNvSpPr/>
              </xdr:nvSpPr>
              <xdr:spPr>
                <a:xfrm>
                  <a:off x="4315938" y="4912325"/>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a:t>
                  </a:r>
                </a:p>
                <a:p>
                  <a:pPr algn="ctr"/>
                  <a:r>
                    <a:rPr lang="es-MX" sz="1400" b="1">
                      <a:solidFill>
                        <a:srgbClr val="045F2C"/>
                      </a:solidFill>
                      <a:latin typeface="Century Gothic" panose="020B0502020202020204" pitchFamily="34" charset="0"/>
                    </a:rPr>
                    <a:t>De UPSS</a:t>
                  </a:r>
                  <a:endParaRPr lang="es-CO" sz="1400" b="1">
                    <a:solidFill>
                      <a:srgbClr val="045F2C"/>
                    </a:solidFill>
                    <a:latin typeface="Century Gothic" panose="020B0502020202020204" pitchFamily="34" charset="0"/>
                  </a:endParaRPr>
                </a:p>
              </xdr:txBody>
            </xdr:sp>
            <xdr:sp macro="" textlink="">
              <xdr:nvSpPr>
                <xdr:cNvPr id="941" name="Rectángulo redondeado 940"/>
                <xdr:cNvSpPr/>
              </xdr:nvSpPr>
              <xdr:spPr>
                <a:xfrm>
                  <a:off x="6568406" y="4912326"/>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 de</a:t>
                  </a:r>
                </a:p>
                <a:p>
                  <a:pPr algn="ctr"/>
                  <a:r>
                    <a:rPr lang="es-MX" sz="1400" b="1">
                      <a:solidFill>
                        <a:srgbClr val="045F2C"/>
                      </a:solidFill>
                      <a:latin typeface="Century Gothic" panose="020B0502020202020204" pitchFamily="34" charset="0"/>
                    </a:rPr>
                    <a:t>Sistemas de Información</a:t>
                  </a:r>
                  <a:endParaRPr lang="es-CO" sz="1400" b="1">
                    <a:solidFill>
                      <a:srgbClr val="045F2C"/>
                    </a:solidFill>
                    <a:latin typeface="Century Gothic" panose="020B0502020202020204" pitchFamily="34" charset="0"/>
                  </a:endParaRPr>
                </a:p>
              </xdr:txBody>
            </xdr:sp>
            <xdr:sp macro="" textlink="">
              <xdr:nvSpPr>
                <xdr:cNvPr id="942" name="Rectángulo redondeado 941"/>
                <xdr:cNvSpPr/>
              </xdr:nvSpPr>
              <xdr:spPr>
                <a:xfrm>
                  <a:off x="8265320" y="4912326"/>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325545"/>
                      </a:solidFill>
                      <a:latin typeface="Century Gothic" panose="020B0502020202020204" pitchFamily="34" charset="0"/>
                    </a:rPr>
                    <a:t>Dirección Administrativa</a:t>
                  </a:r>
                  <a:endParaRPr lang="es-CO" sz="1400" b="1">
                    <a:solidFill>
                      <a:srgbClr val="325545"/>
                    </a:solidFill>
                    <a:latin typeface="Century Gothic" panose="020B0502020202020204" pitchFamily="34" charset="0"/>
                  </a:endParaRPr>
                </a:p>
              </xdr:txBody>
            </xdr:sp>
            <xdr:sp macro="" textlink="">
              <xdr:nvSpPr>
                <xdr:cNvPr id="943" name="Rectángulo redondeado 942"/>
                <xdr:cNvSpPr/>
              </xdr:nvSpPr>
              <xdr:spPr>
                <a:xfrm>
                  <a:off x="6568406" y="5715384"/>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a:t>
                  </a:r>
                </a:p>
                <a:p>
                  <a:pPr algn="ctr"/>
                  <a:r>
                    <a:rPr lang="es-MX" sz="1400" b="1">
                      <a:solidFill>
                        <a:srgbClr val="045F2C"/>
                      </a:solidFill>
                      <a:latin typeface="Century Gothic" panose="020B0502020202020204" pitchFamily="34" charset="0"/>
                    </a:rPr>
                    <a:t>de Talento Humano</a:t>
                  </a:r>
                  <a:endParaRPr lang="es-CO" sz="1400" b="1">
                    <a:solidFill>
                      <a:srgbClr val="045F2C"/>
                    </a:solidFill>
                    <a:latin typeface="Century Gothic" panose="020B0502020202020204" pitchFamily="34" charset="0"/>
                  </a:endParaRPr>
                </a:p>
              </xdr:txBody>
            </xdr:sp>
            <xdr:sp macro="" textlink="">
              <xdr:nvSpPr>
                <xdr:cNvPr id="944" name="Rectángulo redondeado 943"/>
                <xdr:cNvSpPr/>
              </xdr:nvSpPr>
              <xdr:spPr>
                <a:xfrm>
                  <a:off x="8265320" y="5715384"/>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325545"/>
                      </a:solidFill>
                      <a:latin typeface="Century Gothic" panose="020B0502020202020204" pitchFamily="34" charset="0"/>
                    </a:rPr>
                    <a:t>Dirección de Contratación</a:t>
                  </a:r>
                  <a:endParaRPr lang="es-CO" sz="1400" b="1">
                    <a:solidFill>
                      <a:srgbClr val="325545"/>
                    </a:solidFill>
                    <a:latin typeface="Century Gothic" panose="020B0502020202020204" pitchFamily="34" charset="0"/>
                  </a:endParaRPr>
                </a:p>
              </xdr:txBody>
            </xdr:sp>
            <xdr:cxnSp macro="">
              <xdr:nvCxnSpPr>
                <xdr:cNvPr id="945" name="Conector recto 944"/>
                <xdr:cNvCxnSpPr>
                  <a:stCxn id="937" idx="3"/>
                  <a:endCxn id="938" idx="1"/>
                </xdr:cNvCxnSpPr>
              </xdr:nvCxnSpPr>
              <xdr:spPr>
                <a:xfrm>
                  <a:off x="4949029" y="4134379"/>
                  <a:ext cx="2378671" cy="0"/>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946" name="Conector recto 945"/>
                <xdr:cNvCxnSpPr>
                  <a:endCxn id="937" idx="2"/>
                </xdr:cNvCxnSpPr>
              </xdr:nvCxnSpPr>
              <xdr:spPr>
                <a:xfrm flipV="1">
                  <a:off x="4229029" y="4472883"/>
                  <a:ext cx="0" cy="218068"/>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947" name="Conector angular 946"/>
                <xdr:cNvCxnSpPr>
                  <a:stCxn id="932" idx="3"/>
                  <a:endCxn id="933" idx="3"/>
                </xdr:cNvCxnSpPr>
              </xdr:nvCxnSpPr>
              <xdr:spPr>
                <a:xfrm>
                  <a:off x="4536422" y="2038984"/>
                  <a:ext cx="12700" cy="748728"/>
                </a:xfrm>
                <a:prstGeom prst="bentConnector3">
                  <a:avLst>
                    <a:gd name="adj1" fmla="val 1800000"/>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948" name="Conector angular 947"/>
                <xdr:cNvCxnSpPr>
                  <a:stCxn id="934" idx="1"/>
                  <a:endCxn id="936" idx="1"/>
                </xdr:cNvCxnSpPr>
              </xdr:nvCxnSpPr>
              <xdr:spPr>
                <a:xfrm rot="10800000" flipV="1">
                  <a:off x="7545326" y="1676415"/>
                  <a:ext cx="12700" cy="1461997"/>
                </a:xfrm>
                <a:prstGeom prst="bentConnector3">
                  <a:avLst>
                    <a:gd name="adj1" fmla="val 1800000"/>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949" name="Conector recto 948"/>
                <xdr:cNvCxnSpPr>
                  <a:endCxn id="935" idx="1"/>
                </xdr:cNvCxnSpPr>
              </xdr:nvCxnSpPr>
              <xdr:spPr>
                <a:xfrm>
                  <a:off x="4774671" y="2385713"/>
                  <a:ext cx="2770655" cy="21702"/>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950" name="Conector angular 949"/>
                <xdr:cNvCxnSpPr>
                  <a:stCxn id="939" idx="0"/>
                  <a:endCxn id="940" idx="0"/>
                </xdr:cNvCxnSpPr>
              </xdr:nvCxnSpPr>
              <xdr:spPr>
                <a:xfrm rot="5400000" flipH="1" flipV="1">
                  <a:off x="4230459" y="4197217"/>
                  <a:ext cx="10799" cy="1430217"/>
                </a:xfrm>
                <a:prstGeom prst="bentConnector3">
                  <a:avLst>
                    <a:gd name="adj1" fmla="val 1800000"/>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951" name="Conector recto 950"/>
                <xdr:cNvCxnSpPr>
                  <a:stCxn id="941" idx="3"/>
                  <a:endCxn id="942" idx="1"/>
                </xdr:cNvCxnSpPr>
              </xdr:nvCxnSpPr>
              <xdr:spPr>
                <a:xfrm>
                  <a:off x="7828408" y="5272326"/>
                  <a:ext cx="436916" cy="0"/>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952" name="Conector recto 951"/>
                <xdr:cNvCxnSpPr>
                  <a:stCxn id="943" idx="3"/>
                  <a:endCxn id="944" idx="1"/>
                </xdr:cNvCxnSpPr>
              </xdr:nvCxnSpPr>
              <xdr:spPr>
                <a:xfrm>
                  <a:off x="7828406" y="6075384"/>
                  <a:ext cx="436914" cy="0"/>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953" name="Conector recto 952"/>
                <xdr:cNvCxnSpPr>
                  <a:endCxn id="938" idx="2"/>
                </xdr:cNvCxnSpPr>
              </xdr:nvCxnSpPr>
              <xdr:spPr>
                <a:xfrm flipV="1">
                  <a:off x="8047700" y="4472883"/>
                  <a:ext cx="0" cy="1598886"/>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grpSp>
          <xdr:grpSp>
            <xdr:nvGrpSpPr>
              <xdr:cNvPr id="838" name="Grupo 837"/>
              <xdr:cNvGrpSpPr/>
            </xdr:nvGrpSpPr>
            <xdr:grpSpPr>
              <a:xfrm>
                <a:off x="9601547" y="23719970"/>
                <a:ext cx="934949" cy="828000"/>
                <a:chOff x="2947350" y="18385970"/>
                <a:chExt cx="934949" cy="828000"/>
              </a:xfrm>
            </xdr:grpSpPr>
            <xdr:sp macro="" textlink="">
              <xdr:nvSpPr>
                <xdr:cNvPr id="924" name="Elipse 923"/>
                <xdr:cNvSpPr/>
              </xdr:nvSpPr>
              <xdr:spPr>
                <a:xfrm>
                  <a:off x="2955471" y="18385970"/>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15">
              <xdr:nvSpPr>
                <xdr:cNvPr id="925" name="Rectángulo redondeado 924">
                  <a:extLst>
                    <a:ext uri="{FF2B5EF4-FFF2-40B4-BE49-F238E27FC236}">
                      <a16:creationId xmlns:a16="http://schemas.microsoft.com/office/drawing/2014/main" id="{00000000-0008-0000-0A00-000028000000}"/>
                    </a:ext>
                  </a:extLst>
                </xdr:cNvPr>
                <xdr:cNvSpPr/>
              </xdr:nvSpPr>
              <xdr:spPr>
                <a:xfrm>
                  <a:off x="2947350" y="18463007"/>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4297F5-2A70-47DA-B710-29B777C28F09}" type="TxLink">
                    <a:rPr lang="en-US" sz="1600" b="1" i="0" u="none" strike="noStrike">
                      <a:solidFill>
                        <a:srgbClr val="FF0000"/>
                      </a:solidFill>
                      <a:latin typeface="Century Gothic"/>
                    </a:rPr>
                    <a:pPr algn="ctr"/>
                    <a:t>0,0%</a:t>
                  </a:fld>
                  <a:endParaRPr lang="es-CO" sz="2800">
                    <a:solidFill>
                      <a:srgbClr val="FF0000"/>
                    </a:solidFill>
                  </a:endParaRPr>
                </a:p>
              </xdr:txBody>
            </xdr:sp>
            <xdr:grpSp>
              <xdr:nvGrpSpPr>
                <xdr:cNvPr id="926" name="Grupo 925">
                  <a:extLst>
                    <a:ext uri="{FF2B5EF4-FFF2-40B4-BE49-F238E27FC236}">
                      <a16:creationId xmlns:a16="http://schemas.microsoft.com/office/drawing/2014/main" id="{00000000-0008-0000-0A00-0000F2010000}"/>
                    </a:ext>
                  </a:extLst>
                </xdr:cNvPr>
                <xdr:cNvGrpSpPr/>
              </xdr:nvGrpSpPr>
              <xdr:grpSpPr>
                <a:xfrm>
                  <a:off x="2966762" y="18813549"/>
                  <a:ext cx="769986" cy="281624"/>
                  <a:chOff x="2520280" y="14325653"/>
                  <a:chExt cx="770852" cy="281624"/>
                </a:xfrm>
              </xdr:grpSpPr>
              <xdr:sp macro="" textlink="$Q$15">
                <xdr:nvSpPr>
                  <xdr:cNvPr id="927" name="Rectángulo 926">
                    <a:extLst>
                      <a:ext uri="{FF2B5EF4-FFF2-40B4-BE49-F238E27FC236}">
                        <a16:creationId xmlns:a16="http://schemas.microsoft.com/office/drawing/2014/main" id="{00000000-0008-0000-0A00-000048010000}"/>
                      </a:ext>
                    </a:extLst>
                  </xdr:cNvPr>
                  <xdr:cNvSpPr/>
                </xdr:nvSpPr>
                <xdr:spPr>
                  <a:xfrm>
                    <a:off x="2544545"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014C904-C851-428B-8232-22E66D03CC39}" type="TxLink">
                      <a:rPr lang="en-US" sz="1100" b="1" i="0" u="none" strike="noStrike">
                        <a:solidFill>
                          <a:srgbClr val="FF0000"/>
                        </a:solidFill>
                        <a:latin typeface="Century Gothic"/>
                      </a:rPr>
                      <a:pPr algn="ctr"/>
                      <a:t>0</a:t>
                    </a:fld>
                    <a:endParaRPr lang="es-CO" sz="3200" b="1">
                      <a:solidFill>
                        <a:srgbClr val="FF0000"/>
                      </a:solidFill>
                    </a:endParaRPr>
                  </a:p>
                </xdr:txBody>
              </xdr:sp>
              <xdr:sp macro="" textlink="$X$15">
                <xdr:nvSpPr>
                  <xdr:cNvPr id="928" name="Rectángulo 927">
                    <a:extLst>
                      <a:ext uri="{FF2B5EF4-FFF2-40B4-BE49-F238E27FC236}">
                        <a16:creationId xmlns:a16="http://schemas.microsoft.com/office/drawing/2014/main" id="{00000000-0008-0000-0A00-000049010000}"/>
                      </a:ext>
                    </a:extLst>
                  </xdr:cNvPr>
                  <xdr:cNvSpPr/>
                </xdr:nvSpPr>
                <xdr:spPr>
                  <a:xfrm>
                    <a:off x="2820639"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F71FC9C-7CD9-414B-B74F-2B30D291F119}" type="TxLink">
                      <a:rPr lang="en-US" sz="1100" b="1" i="0" u="none" strike="noStrike">
                        <a:solidFill>
                          <a:srgbClr val="FF0000"/>
                        </a:solidFill>
                        <a:latin typeface="Century Gothic"/>
                      </a:rPr>
                      <a:pPr algn="ctr"/>
                      <a:t>14</a:t>
                    </a:fld>
                    <a:endParaRPr lang="es-CO" sz="3200" b="1">
                      <a:solidFill>
                        <a:srgbClr val="FF0000"/>
                      </a:solidFill>
                    </a:endParaRPr>
                  </a:p>
                </xdr:txBody>
              </xdr:sp>
              <xdr:sp macro="" textlink="">
                <xdr:nvSpPr>
                  <xdr:cNvPr id="929" name="CuadroTexto 928">
                    <a:extLst>
                      <a:ext uri="{FF2B5EF4-FFF2-40B4-BE49-F238E27FC236}">
                        <a16:creationId xmlns:a16="http://schemas.microsoft.com/office/drawing/2014/main" id="{00000000-0008-0000-0A00-0000F1010000}"/>
                      </a:ext>
                    </a:extLst>
                  </xdr:cNvPr>
                  <xdr:cNvSpPr txBox="1"/>
                </xdr:nvSpPr>
                <xdr:spPr>
                  <a:xfrm>
                    <a:off x="2520280" y="143256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39" name="Grupo 838"/>
              <xdr:cNvGrpSpPr/>
            </xdr:nvGrpSpPr>
            <xdr:grpSpPr>
              <a:xfrm>
                <a:off x="9560726" y="24652059"/>
                <a:ext cx="934949" cy="828000"/>
                <a:chOff x="8567707" y="17589952"/>
                <a:chExt cx="934949" cy="828000"/>
              </a:xfrm>
            </xdr:grpSpPr>
            <xdr:sp macro="" textlink="">
              <xdr:nvSpPr>
                <xdr:cNvPr id="918" name="Elipse 917"/>
                <xdr:cNvSpPr/>
              </xdr:nvSpPr>
              <xdr:spPr>
                <a:xfrm>
                  <a:off x="8629648" y="17589952"/>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16">
              <xdr:nvSpPr>
                <xdr:cNvPr id="919" name="Rectángulo redondeado 918">
                  <a:extLst>
                    <a:ext uri="{FF2B5EF4-FFF2-40B4-BE49-F238E27FC236}">
                      <a16:creationId xmlns:a16="http://schemas.microsoft.com/office/drawing/2014/main" id="{00000000-0008-0000-0A00-00002C000000}"/>
                    </a:ext>
                  </a:extLst>
                </xdr:cNvPr>
                <xdr:cNvSpPr/>
              </xdr:nvSpPr>
              <xdr:spPr>
                <a:xfrm>
                  <a:off x="8567707" y="17649301"/>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4E43653D-4823-4E19-A08F-79DE31749608}" type="TxLink">
                    <a:rPr lang="en-US" sz="1600" b="1" i="0" u="none" strike="noStrike">
                      <a:solidFill>
                        <a:srgbClr val="FF0000"/>
                      </a:solidFill>
                      <a:latin typeface="Century Gothic"/>
                    </a:rPr>
                    <a:pPr algn="ctr"/>
                    <a:t>-</a:t>
                  </a:fld>
                  <a:endParaRPr lang="es-CO" sz="2800">
                    <a:solidFill>
                      <a:srgbClr val="FF0000"/>
                    </a:solidFill>
                  </a:endParaRPr>
                </a:p>
              </xdr:txBody>
            </xdr:sp>
            <xdr:grpSp>
              <xdr:nvGrpSpPr>
                <xdr:cNvPr id="920" name="Grupo 919">
                  <a:extLst>
                    <a:ext uri="{FF2B5EF4-FFF2-40B4-BE49-F238E27FC236}">
                      <a16:creationId xmlns:a16="http://schemas.microsoft.com/office/drawing/2014/main" id="{00000000-0008-0000-0A00-0000F5010000}"/>
                    </a:ext>
                  </a:extLst>
                </xdr:cNvPr>
                <xdr:cNvGrpSpPr/>
              </xdr:nvGrpSpPr>
              <xdr:grpSpPr>
                <a:xfrm>
                  <a:off x="8616479" y="18005625"/>
                  <a:ext cx="769986" cy="275845"/>
                  <a:chOff x="4471046" y="14320548"/>
                  <a:chExt cx="770852" cy="275845"/>
                </a:xfrm>
              </xdr:grpSpPr>
              <xdr:sp macro="" textlink="$Q$16">
                <xdr:nvSpPr>
                  <xdr:cNvPr id="921" name="Rectángulo 920">
                    <a:extLst>
                      <a:ext uri="{FF2B5EF4-FFF2-40B4-BE49-F238E27FC236}">
                        <a16:creationId xmlns:a16="http://schemas.microsoft.com/office/drawing/2014/main" id="{00000000-0008-0000-0A00-00004A010000}"/>
                      </a:ext>
                    </a:extLst>
                  </xdr:cNvPr>
                  <xdr:cNvSpPr/>
                </xdr:nvSpPr>
                <xdr:spPr>
                  <a:xfrm>
                    <a:off x="4506693"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E4EB521-F4CB-416D-BE1E-A661945834F4}" type="TxLink">
                      <a:rPr lang="en-US" sz="1100" b="1" i="0" u="none" strike="noStrike">
                        <a:solidFill>
                          <a:srgbClr val="FF0000"/>
                        </a:solidFill>
                        <a:latin typeface="Century Gothic"/>
                      </a:rPr>
                      <a:pPr algn="ctr"/>
                      <a:t>0</a:t>
                    </a:fld>
                    <a:endParaRPr lang="es-CO" sz="3600" b="1">
                      <a:solidFill>
                        <a:srgbClr val="FF0000"/>
                      </a:solidFill>
                    </a:endParaRPr>
                  </a:p>
                </xdr:txBody>
              </xdr:sp>
              <xdr:sp macro="" textlink="$X$16">
                <xdr:nvSpPr>
                  <xdr:cNvPr id="922" name="Rectángulo 921">
                    <a:extLst>
                      <a:ext uri="{FF2B5EF4-FFF2-40B4-BE49-F238E27FC236}">
                        <a16:creationId xmlns:a16="http://schemas.microsoft.com/office/drawing/2014/main" id="{00000000-0008-0000-0A00-00004B010000}"/>
                      </a:ext>
                    </a:extLst>
                  </xdr:cNvPr>
                  <xdr:cNvSpPr/>
                </xdr:nvSpPr>
                <xdr:spPr>
                  <a:xfrm>
                    <a:off x="4782787"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BA3086C-AC4B-4AED-9F5D-5A42786A375C}" type="TxLink">
                      <a:rPr lang="en-US" sz="1100" b="1" i="0" u="none" strike="noStrike">
                        <a:solidFill>
                          <a:srgbClr val="FF0000"/>
                        </a:solidFill>
                        <a:latin typeface="Century Gothic"/>
                      </a:rPr>
                      <a:pPr algn="ctr"/>
                      <a:t>0</a:t>
                    </a:fld>
                    <a:endParaRPr lang="es-CO" sz="3600" b="1">
                      <a:solidFill>
                        <a:srgbClr val="FF0000"/>
                      </a:solidFill>
                    </a:endParaRPr>
                  </a:p>
                </xdr:txBody>
              </xdr:sp>
              <xdr:sp macro="" textlink="">
                <xdr:nvSpPr>
                  <xdr:cNvPr id="923" name="CuadroTexto 922">
                    <a:extLst>
                      <a:ext uri="{FF2B5EF4-FFF2-40B4-BE49-F238E27FC236}">
                        <a16:creationId xmlns:a16="http://schemas.microsoft.com/office/drawing/2014/main" id="{00000000-0008-0000-0A00-0000F4010000}"/>
                      </a:ext>
                    </a:extLst>
                  </xdr:cNvPr>
                  <xdr:cNvSpPr txBox="1"/>
                </xdr:nvSpPr>
                <xdr:spPr>
                  <a:xfrm>
                    <a:off x="4471046" y="1432054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0" name="Grupo 839"/>
              <xdr:cNvGrpSpPr/>
            </xdr:nvGrpSpPr>
            <xdr:grpSpPr>
              <a:xfrm>
                <a:off x="1367338" y="22345650"/>
                <a:ext cx="934949" cy="828000"/>
                <a:chOff x="8715196" y="16889185"/>
                <a:chExt cx="934949" cy="828000"/>
              </a:xfrm>
            </xdr:grpSpPr>
            <xdr:sp macro="" textlink="">
              <xdr:nvSpPr>
                <xdr:cNvPr id="912" name="Elipse 911"/>
                <xdr:cNvSpPr/>
              </xdr:nvSpPr>
              <xdr:spPr>
                <a:xfrm>
                  <a:off x="8765720" y="16889185"/>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12">
              <xdr:nvSpPr>
                <xdr:cNvPr id="913" name="Rectángulo redondeado 912">
                  <a:extLst>
                    <a:ext uri="{FF2B5EF4-FFF2-40B4-BE49-F238E27FC236}">
                      <a16:creationId xmlns:a16="http://schemas.microsoft.com/office/drawing/2014/main" id="{00000000-0008-0000-0A00-00001C000000}"/>
                    </a:ext>
                  </a:extLst>
                </xdr:cNvPr>
                <xdr:cNvSpPr/>
              </xdr:nvSpPr>
              <xdr:spPr>
                <a:xfrm>
                  <a:off x="8715196" y="16928120"/>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ED5F3DE-5A5F-43E0-B2F9-33EFC733D15C}" type="TxLink">
                    <a:rPr lang="en-US" sz="1600" b="1" i="0" u="none" strike="noStrike">
                      <a:solidFill>
                        <a:srgbClr val="FF0000"/>
                      </a:solidFill>
                      <a:latin typeface="Century Gothic"/>
                    </a:rPr>
                    <a:pPr algn="ctr"/>
                    <a:t>28,6%</a:t>
                  </a:fld>
                  <a:endParaRPr lang="es-CO" sz="2800" b="1">
                    <a:solidFill>
                      <a:srgbClr val="FF0000"/>
                    </a:solidFill>
                  </a:endParaRPr>
                </a:p>
              </xdr:txBody>
            </xdr:sp>
            <xdr:grpSp>
              <xdr:nvGrpSpPr>
                <xdr:cNvPr id="914" name="Grupo 913">
                  <a:extLst>
                    <a:ext uri="{FF2B5EF4-FFF2-40B4-BE49-F238E27FC236}">
                      <a16:creationId xmlns:a16="http://schemas.microsoft.com/office/drawing/2014/main" id="{00000000-0008-0000-0A00-0000E9010000}"/>
                    </a:ext>
                  </a:extLst>
                </xdr:cNvPr>
                <xdr:cNvGrpSpPr/>
              </xdr:nvGrpSpPr>
              <xdr:grpSpPr>
                <a:xfrm>
                  <a:off x="8799901" y="17270843"/>
                  <a:ext cx="769986" cy="292167"/>
                  <a:chOff x="6398346" y="13531339"/>
                  <a:chExt cx="770852" cy="292167"/>
                </a:xfrm>
              </xdr:grpSpPr>
              <xdr:sp macro="" textlink="$Q$12">
                <xdr:nvSpPr>
                  <xdr:cNvPr id="915" name="Rectángulo 914">
                    <a:extLst>
                      <a:ext uri="{FF2B5EF4-FFF2-40B4-BE49-F238E27FC236}">
                        <a16:creationId xmlns:a16="http://schemas.microsoft.com/office/drawing/2014/main" id="{00000000-0008-0000-0A00-000042010000}"/>
                      </a:ext>
                    </a:extLst>
                  </xdr:cNvPr>
                  <xdr:cNvSpPr/>
                </xdr:nvSpPr>
                <xdr:spPr>
                  <a:xfrm>
                    <a:off x="6400791"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C8AED90-921D-48AE-AA27-CE77197BC9F7}" type="TxLink">
                      <a:rPr lang="en-US" sz="1100" b="1" i="0" u="none" strike="noStrike">
                        <a:solidFill>
                          <a:srgbClr val="FF0000"/>
                        </a:solidFill>
                        <a:latin typeface="Century Gothic"/>
                      </a:rPr>
                      <a:pPr algn="ctr"/>
                      <a:t>36</a:t>
                    </a:fld>
                    <a:endParaRPr lang="es-CO" sz="2000" b="1">
                      <a:solidFill>
                        <a:srgbClr val="FF0000"/>
                      </a:solidFill>
                    </a:endParaRPr>
                  </a:p>
                </xdr:txBody>
              </xdr:sp>
              <xdr:sp macro="" textlink="$X$12">
                <xdr:nvSpPr>
                  <xdr:cNvPr id="916" name="Rectángulo 915">
                    <a:extLst>
                      <a:ext uri="{FF2B5EF4-FFF2-40B4-BE49-F238E27FC236}">
                        <a16:creationId xmlns:a16="http://schemas.microsoft.com/office/drawing/2014/main" id="{00000000-0008-0000-0A00-000043010000}"/>
                      </a:ext>
                    </a:extLst>
                  </xdr:cNvPr>
                  <xdr:cNvSpPr/>
                </xdr:nvSpPr>
                <xdr:spPr>
                  <a:xfrm>
                    <a:off x="6676885"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58609C-DBC8-4172-BB01-0CE769244C8F}" type="TxLink">
                      <a:rPr lang="en-US" sz="1100" b="1" i="0" u="none" strike="noStrike">
                        <a:solidFill>
                          <a:srgbClr val="FF0000"/>
                        </a:solidFill>
                        <a:latin typeface="Century Gothic"/>
                      </a:rPr>
                      <a:pPr algn="ctr"/>
                      <a:t>126</a:t>
                    </a:fld>
                    <a:endParaRPr lang="es-CO" sz="2000" b="1">
                      <a:solidFill>
                        <a:srgbClr val="FF0000"/>
                      </a:solidFill>
                    </a:endParaRPr>
                  </a:p>
                </xdr:txBody>
              </xdr:sp>
              <xdr:sp macro="" textlink="">
                <xdr:nvSpPr>
                  <xdr:cNvPr id="917" name="CuadroTexto 916">
                    <a:extLst>
                      <a:ext uri="{FF2B5EF4-FFF2-40B4-BE49-F238E27FC236}">
                        <a16:creationId xmlns:a16="http://schemas.microsoft.com/office/drawing/2014/main" id="{00000000-0008-0000-0A00-0000E8010000}"/>
                      </a:ext>
                    </a:extLst>
                  </xdr:cNvPr>
                  <xdr:cNvSpPr txBox="1"/>
                </xdr:nvSpPr>
                <xdr:spPr>
                  <a:xfrm>
                    <a:off x="6398346" y="1353133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1" name="Grupo 840"/>
              <xdr:cNvGrpSpPr/>
            </xdr:nvGrpSpPr>
            <xdr:grpSpPr>
              <a:xfrm>
                <a:off x="6460240" y="18383247"/>
                <a:ext cx="934950" cy="828000"/>
                <a:chOff x="7984235" y="18532924"/>
                <a:chExt cx="934950" cy="828000"/>
              </a:xfrm>
            </xdr:grpSpPr>
            <xdr:sp macro="" textlink="">
              <xdr:nvSpPr>
                <xdr:cNvPr id="906" name="Elipse 905"/>
                <xdr:cNvSpPr/>
              </xdr:nvSpPr>
              <xdr:spPr>
                <a:xfrm>
                  <a:off x="8028214" y="18532924"/>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6">
              <xdr:nvSpPr>
                <xdr:cNvPr id="907" name="Rectángulo redondeado 906">
                  <a:extLst>
                    <a:ext uri="{FF2B5EF4-FFF2-40B4-BE49-F238E27FC236}">
                      <a16:creationId xmlns:a16="http://schemas.microsoft.com/office/drawing/2014/main" id="{00000000-0008-0000-0A00-000059000000}"/>
                    </a:ext>
                  </a:extLst>
                </xdr:cNvPr>
                <xdr:cNvSpPr/>
              </xdr:nvSpPr>
              <xdr:spPr>
                <a:xfrm>
                  <a:off x="7984235" y="18601770"/>
                  <a:ext cx="934950" cy="50232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FC5F204-CC6F-4BC4-B67E-371575C4EA19}" type="TxLink">
                    <a:rPr lang="en-US" sz="1600" b="1" i="0" u="none" strike="noStrike">
                      <a:solidFill>
                        <a:srgbClr val="FF0000"/>
                      </a:solidFill>
                      <a:latin typeface="Century Gothic"/>
                    </a:rPr>
                    <a:pPr algn="ctr"/>
                    <a:t>-</a:t>
                  </a:fld>
                  <a:endParaRPr lang="es-CO" sz="2400">
                    <a:solidFill>
                      <a:srgbClr val="FF0000"/>
                    </a:solidFill>
                  </a:endParaRPr>
                </a:p>
              </xdr:txBody>
            </xdr:sp>
            <xdr:grpSp>
              <xdr:nvGrpSpPr>
                <xdr:cNvPr id="908" name="Grupo 907">
                  <a:extLst>
                    <a:ext uri="{FF2B5EF4-FFF2-40B4-BE49-F238E27FC236}">
                      <a16:creationId xmlns:a16="http://schemas.microsoft.com/office/drawing/2014/main" id="{00000000-0008-0000-0A00-00003C000000}"/>
                    </a:ext>
                  </a:extLst>
                </xdr:cNvPr>
                <xdr:cNvGrpSpPr/>
              </xdr:nvGrpSpPr>
              <xdr:grpSpPr>
                <a:xfrm>
                  <a:off x="8060303" y="18953012"/>
                  <a:ext cx="769986" cy="280936"/>
                  <a:chOff x="7919246" y="19826341"/>
                  <a:chExt cx="770852" cy="280936"/>
                </a:xfrm>
              </xdr:grpSpPr>
              <xdr:sp macro="" textlink="$Q$6">
                <xdr:nvSpPr>
                  <xdr:cNvPr id="909" name="Rectángulo 908">
                    <a:extLst>
                      <a:ext uri="{FF2B5EF4-FFF2-40B4-BE49-F238E27FC236}">
                        <a16:creationId xmlns:a16="http://schemas.microsoft.com/office/drawing/2014/main" id="{00000000-0008-0000-0A00-000035010000}"/>
                      </a:ext>
                    </a:extLst>
                  </xdr:cNvPr>
                  <xdr:cNvSpPr/>
                </xdr:nvSpPr>
                <xdr:spPr>
                  <a:xfrm>
                    <a:off x="7941257" y="198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BEC1C2C-A363-4184-840D-A5FDC25CE931}" type="TxLink">
                      <a:rPr lang="en-US" sz="1100" b="1" i="0" u="none" strike="noStrike">
                        <a:solidFill>
                          <a:srgbClr val="FF0000"/>
                        </a:solidFill>
                        <a:latin typeface="Century Gothic"/>
                      </a:rPr>
                      <a:pPr algn="ctr"/>
                      <a:t>0</a:t>
                    </a:fld>
                    <a:endParaRPr lang="es-CO" sz="1100" b="1">
                      <a:solidFill>
                        <a:srgbClr val="FF0000"/>
                      </a:solidFill>
                    </a:endParaRPr>
                  </a:p>
                </xdr:txBody>
              </xdr:sp>
              <xdr:sp macro="" textlink="$X$6">
                <xdr:nvSpPr>
                  <xdr:cNvPr id="910" name="Rectángulo 909">
                    <a:extLst>
                      <a:ext uri="{FF2B5EF4-FFF2-40B4-BE49-F238E27FC236}">
                        <a16:creationId xmlns:a16="http://schemas.microsoft.com/office/drawing/2014/main" id="{00000000-0008-0000-0A00-000037010000}"/>
                      </a:ext>
                    </a:extLst>
                  </xdr:cNvPr>
                  <xdr:cNvSpPr/>
                </xdr:nvSpPr>
                <xdr:spPr>
                  <a:xfrm>
                    <a:off x="8226015" y="198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C78A7D8-B9ED-4258-9FC6-91397BC4C211}" type="TxLink">
                      <a:rPr lang="en-US" sz="1100" b="1" i="0" u="none" strike="noStrike">
                        <a:solidFill>
                          <a:srgbClr val="FF0000"/>
                        </a:solidFill>
                        <a:latin typeface="Century Gothic"/>
                      </a:rPr>
                      <a:pPr algn="ctr"/>
                      <a:t>0</a:t>
                    </a:fld>
                    <a:endParaRPr lang="es-CO" sz="1100" b="1">
                      <a:solidFill>
                        <a:srgbClr val="FF0000"/>
                      </a:solidFill>
                    </a:endParaRPr>
                  </a:p>
                </xdr:txBody>
              </xdr:sp>
              <xdr:sp macro="" textlink="">
                <xdr:nvSpPr>
                  <xdr:cNvPr id="911" name="CuadroTexto 910">
                    <a:extLst>
                      <a:ext uri="{FF2B5EF4-FFF2-40B4-BE49-F238E27FC236}">
                        <a16:creationId xmlns:a16="http://schemas.microsoft.com/office/drawing/2014/main" id="{00000000-0008-0000-0A00-0000DA010000}"/>
                      </a:ext>
                    </a:extLst>
                  </xdr:cNvPr>
                  <xdr:cNvSpPr txBox="1"/>
                </xdr:nvSpPr>
                <xdr:spPr>
                  <a:xfrm>
                    <a:off x="7919246" y="19826341"/>
                    <a:ext cx="770852" cy="264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2" name="Grupo 841"/>
              <xdr:cNvGrpSpPr/>
            </xdr:nvGrpSpPr>
            <xdr:grpSpPr>
              <a:xfrm>
                <a:off x="364207" y="19909970"/>
                <a:ext cx="934949" cy="828000"/>
                <a:chOff x="200923" y="19909970"/>
                <a:chExt cx="934949" cy="828000"/>
              </a:xfrm>
            </xdr:grpSpPr>
            <xdr:sp macro="" textlink="">
              <xdr:nvSpPr>
                <xdr:cNvPr id="900" name="Elipse 899"/>
                <xdr:cNvSpPr/>
              </xdr:nvSpPr>
              <xdr:spPr>
                <a:xfrm>
                  <a:off x="247649" y="19909970"/>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7">
              <xdr:nvSpPr>
                <xdr:cNvPr id="901" name="Rectángulo redondeado 900">
                  <a:extLst>
                    <a:ext uri="{FF2B5EF4-FFF2-40B4-BE49-F238E27FC236}">
                      <a16:creationId xmlns:a16="http://schemas.microsoft.com/office/drawing/2014/main" id="{00000000-0008-0000-0A00-00006C000000}"/>
                    </a:ext>
                  </a:extLst>
                </xdr:cNvPr>
                <xdr:cNvSpPr/>
              </xdr:nvSpPr>
              <xdr:spPr>
                <a:xfrm>
                  <a:off x="200923" y="19978847"/>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A101F1B-7EE5-4E33-91A0-0D572F474A87}" type="TxLink">
                    <a:rPr lang="en-US" sz="1600" b="1" i="0" u="none" strike="noStrike">
                      <a:solidFill>
                        <a:srgbClr val="FF0000"/>
                      </a:solidFill>
                      <a:latin typeface="Century Gothic"/>
                    </a:rPr>
                    <a:pPr algn="ctr"/>
                    <a:t>85,7%</a:t>
                  </a:fld>
                  <a:endParaRPr lang="es-CO" sz="2400">
                    <a:solidFill>
                      <a:srgbClr val="FF0000"/>
                    </a:solidFill>
                  </a:endParaRPr>
                </a:p>
              </xdr:txBody>
            </xdr:sp>
            <xdr:grpSp>
              <xdr:nvGrpSpPr>
                <xdr:cNvPr id="902" name="Grupo 901">
                  <a:extLst>
                    <a:ext uri="{FF2B5EF4-FFF2-40B4-BE49-F238E27FC236}">
                      <a16:creationId xmlns:a16="http://schemas.microsoft.com/office/drawing/2014/main" id="{00000000-0008-0000-0A00-00003E000000}"/>
                    </a:ext>
                  </a:extLst>
                </xdr:cNvPr>
                <xdr:cNvGrpSpPr/>
              </xdr:nvGrpSpPr>
              <xdr:grpSpPr>
                <a:xfrm>
                  <a:off x="274293" y="20291603"/>
                  <a:ext cx="769986" cy="292173"/>
                  <a:chOff x="5409940" y="12061754"/>
                  <a:chExt cx="770852" cy="292173"/>
                </a:xfrm>
              </xdr:grpSpPr>
              <xdr:sp macro="" textlink="$Q$7">
                <xdr:nvSpPr>
                  <xdr:cNvPr id="903" name="Rectángulo 902">
                    <a:extLst>
                      <a:ext uri="{FF2B5EF4-FFF2-40B4-BE49-F238E27FC236}">
                        <a16:creationId xmlns:a16="http://schemas.microsoft.com/office/drawing/2014/main" id="{00000000-0008-0000-0A00-000038010000}"/>
                      </a:ext>
                    </a:extLst>
                  </xdr:cNvPr>
                  <xdr:cNvSpPr/>
                </xdr:nvSpPr>
                <xdr:spPr>
                  <a:xfrm>
                    <a:off x="5434691" y="120817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08D3808-49C9-4640-A71F-6BB70792BD19}" type="TxLink">
                      <a:rPr lang="en-US" sz="1100" b="1" i="0" u="none" strike="noStrike">
                        <a:solidFill>
                          <a:srgbClr val="FF0000"/>
                        </a:solidFill>
                        <a:latin typeface="Century Gothic"/>
                      </a:rPr>
                      <a:pPr algn="ctr"/>
                      <a:t>12</a:t>
                    </a:fld>
                    <a:endParaRPr lang="es-CO" sz="1100" b="1">
                      <a:solidFill>
                        <a:srgbClr val="FF0000"/>
                      </a:solidFill>
                    </a:endParaRPr>
                  </a:p>
                </xdr:txBody>
              </xdr:sp>
              <xdr:sp macro="" textlink="$X$7">
                <xdr:nvSpPr>
                  <xdr:cNvPr id="904" name="Rectángulo 903">
                    <a:extLst>
                      <a:ext uri="{FF2B5EF4-FFF2-40B4-BE49-F238E27FC236}">
                        <a16:creationId xmlns:a16="http://schemas.microsoft.com/office/drawing/2014/main" id="{00000000-0008-0000-0A00-000039010000}"/>
                      </a:ext>
                    </a:extLst>
                  </xdr:cNvPr>
                  <xdr:cNvSpPr/>
                </xdr:nvSpPr>
                <xdr:spPr>
                  <a:xfrm>
                    <a:off x="5710786" y="120817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9D2B86-7DDE-4EF2-A83C-E80EF897E432}" type="TxLink">
                      <a:rPr lang="en-US" sz="1100" b="1" i="0" u="none" strike="noStrike">
                        <a:solidFill>
                          <a:srgbClr val="FF0000"/>
                        </a:solidFill>
                        <a:latin typeface="Century Gothic"/>
                      </a:rPr>
                      <a:pPr algn="ctr"/>
                      <a:t>14</a:t>
                    </a:fld>
                    <a:endParaRPr lang="es-CO" sz="1100" b="1">
                      <a:solidFill>
                        <a:srgbClr val="FF0000"/>
                      </a:solidFill>
                    </a:endParaRPr>
                  </a:p>
                </xdr:txBody>
              </xdr:sp>
              <xdr:sp macro="" textlink="">
                <xdr:nvSpPr>
                  <xdr:cNvPr id="905" name="CuadroTexto 904">
                    <a:extLst>
                      <a:ext uri="{FF2B5EF4-FFF2-40B4-BE49-F238E27FC236}">
                        <a16:creationId xmlns:a16="http://schemas.microsoft.com/office/drawing/2014/main" id="{00000000-0008-0000-0A00-0000DB010000}"/>
                      </a:ext>
                    </a:extLst>
                  </xdr:cNvPr>
                  <xdr:cNvSpPr txBox="1"/>
                </xdr:nvSpPr>
                <xdr:spPr>
                  <a:xfrm>
                    <a:off x="5409940" y="1206175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3" name="Grupo 842"/>
              <xdr:cNvGrpSpPr/>
            </xdr:nvGrpSpPr>
            <xdr:grpSpPr>
              <a:xfrm>
                <a:off x="377844" y="20760419"/>
                <a:ext cx="934949" cy="828000"/>
                <a:chOff x="200953" y="20774026"/>
                <a:chExt cx="934949" cy="828000"/>
              </a:xfrm>
            </xdr:grpSpPr>
            <xdr:sp macro="" textlink="">
              <xdr:nvSpPr>
                <xdr:cNvPr id="894" name="Elipse 893"/>
                <xdr:cNvSpPr/>
              </xdr:nvSpPr>
              <xdr:spPr>
                <a:xfrm>
                  <a:off x="247649" y="20774026"/>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8">
              <xdr:nvSpPr>
                <xdr:cNvPr id="895" name="Rectángulo redondeado 894">
                  <a:extLst>
                    <a:ext uri="{FF2B5EF4-FFF2-40B4-BE49-F238E27FC236}">
                      <a16:creationId xmlns:a16="http://schemas.microsoft.com/office/drawing/2014/main" id="{00000000-0008-0000-0A00-000070000000}"/>
                    </a:ext>
                  </a:extLst>
                </xdr:cNvPr>
                <xdr:cNvSpPr/>
              </xdr:nvSpPr>
              <xdr:spPr>
                <a:xfrm>
                  <a:off x="200953" y="20825214"/>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48BF132-98CA-409F-9E47-B1112F18858B}" type="TxLink">
                    <a:rPr lang="en-US" sz="1800" b="1" i="0" u="none" strike="noStrike">
                      <a:solidFill>
                        <a:srgbClr val="FF0000"/>
                      </a:solidFill>
                      <a:latin typeface="Century Gothic"/>
                    </a:rPr>
                    <a:pPr algn="ctr"/>
                    <a:t>-</a:t>
                  </a:fld>
                  <a:endParaRPr lang="es-CO" sz="4400" b="1">
                    <a:solidFill>
                      <a:srgbClr val="FF0000"/>
                    </a:solidFill>
                  </a:endParaRPr>
                </a:p>
              </xdr:txBody>
            </xdr:sp>
            <xdr:grpSp>
              <xdr:nvGrpSpPr>
                <xdr:cNvPr id="896" name="Grupo 895">
                  <a:extLst>
                    <a:ext uri="{FF2B5EF4-FFF2-40B4-BE49-F238E27FC236}">
                      <a16:creationId xmlns:a16="http://schemas.microsoft.com/office/drawing/2014/main" id="{00000000-0008-0000-0A00-0000DD010000}"/>
                    </a:ext>
                  </a:extLst>
                </xdr:cNvPr>
                <xdr:cNvGrpSpPr/>
              </xdr:nvGrpSpPr>
              <xdr:grpSpPr>
                <a:xfrm>
                  <a:off x="257966" y="21177776"/>
                  <a:ext cx="769986" cy="279584"/>
                  <a:chOff x="7845616" y="12335603"/>
                  <a:chExt cx="770852" cy="279584"/>
                </a:xfrm>
              </xdr:grpSpPr>
              <xdr:sp macro="" textlink="$Q$8">
                <xdr:nvSpPr>
                  <xdr:cNvPr id="897" name="Rectángulo 896">
                    <a:extLst>
                      <a:ext uri="{FF2B5EF4-FFF2-40B4-BE49-F238E27FC236}">
                        <a16:creationId xmlns:a16="http://schemas.microsoft.com/office/drawing/2014/main" id="{00000000-0008-0000-0A00-00003A010000}"/>
                      </a:ext>
                    </a:extLst>
                  </xdr:cNvPr>
                  <xdr:cNvSpPr/>
                </xdr:nvSpPr>
                <xdr:spPr>
                  <a:xfrm>
                    <a:off x="7873089"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7584FF-F4C3-4E81-9ADD-057A8803D0D9}" type="TxLink">
                      <a:rPr lang="en-US" sz="1100" b="1" i="0" u="none" strike="noStrike">
                        <a:solidFill>
                          <a:srgbClr val="FF0000"/>
                        </a:solidFill>
                        <a:latin typeface="Century Gothic"/>
                      </a:rPr>
                      <a:pPr algn="ctr"/>
                      <a:t>0</a:t>
                    </a:fld>
                    <a:endParaRPr lang="es-CO" sz="1200" b="1">
                      <a:solidFill>
                        <a:srgbClr val="FF0000"/>
                      </a:solidFill>
                    </a:endParaRPr>
                  </a:p>
                </xdr:txBody>
              </xdr:sp>
              <xdr:sp macro="" textlink="$X$8">
                <xdr:nvSpPr>
                  <xdr:cNvPr id="898" name="Rectángulo 897">
                    <a:extLst>
                      <a:ext uri="{FF2B5EF4-FFF2-40B4-BE49-F238E27FC236}">
                        <a16:creationId xmlns:a16="http://schemas.microsoft.com/office/drawing/2014/main" id="{00000000-0008-0000-0A00-00003B010000}"/>
                      </a:ext>
                    </a:extLst>
                  </xdr:cNvPr>
                  <xdr:cNvSpPr/>
                </xdr:nvSpPr>
                <xdr:spPr>
                  <a:xfrm>
                    <a:off x="8149183"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45A6B53-4C48-407D-8439-9CB25C804800}" type="TxLink">
                      <a:rPr lang="en-US" sz="1100" b="1" i="0" u="none" strike="noStrike">
                        <a:solidFill>
                          <a:srgbClr val="FF0000"/>
                        </a:solidFill>
                        <a:latin typeface="Century Gothic"/>
                      </a:rPr>
                      <a:pPr algn="ctr"/>
                      <a:t>0</a:t>
                    </a:fld>
                    <a:endParaRPr lang="es-CO" sz="1200" b="1">
                      <a:solidFill>
                        <a:srgbClr val="FF0000"/>
                      </a:solidFill>
                    </a:endParaRPr>
                  </a:p>
                </xdr:txBody>
              </xdr:sp>
              <xdr:sp macro="" textlink="">
                <xdr:nvSpPr>
                  <xdr:cNvPr id="899" name="CuadroTexto 898">
                    <a:extLst>
                      <a:ext uri="{FF2B5EF4-FFF2-40B4-BE49-F238E27FC236}">
                        <a16:creationId xmlns:a16="http://schemas.microsoft.com/office/drawing/2014/main" id="{00000000-0008-0000-0A00-0000DC010000}"/>
                      </a:ext>
                    </a:extLst>
                  </xdr:cNvPr>
                  <xdr:cNvSpPr txBox="1"/>
                </xdr:nvSpPr>
                <xdr:spPr>
                  <a:xfrm>
                    <a:off x="7845616" y="1233560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4" name="Grupo 843"/>
              <xdr:cNvGrpSpPr/>
            </xdr:nvGrpSpPr>
            <xdr:grpSpPr>
              <a:xfrm>
                <a:off x="9385830" y="21229863"/>
                <a:ext cx="934949" cy="828000"/>
                <a:chOff x="9535507" y="21991863"/>
                <a:chExt cx="934949" cy="828000"/>
              </a:xfrm>
            </xdr:grpSpPr>
            <xdr:sp macro="" textlink="">
              <xdr:nvSpPr>
                <xdr:cNvPr id="888" name="Elipse 887"/>
                <xdr:cNvSpPr/>
              </xdr:nvSpPr>
              <xdr:spPr>
                <a:xfrm>
                  <a:off x="9595756" y="21991863"/>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9">
              <xdr:nvSpPr>
                <xdr:cNvPr id="889" name="Rectángulo redondeado 888">
                  <a:extLst>
                    <a:ext uri="{FF2B5EF4-FFF2-40B4-BE49-F238E27FC236}">
                      <a16:creationId xmlns:a16="http://schemas.microsoft.com/office/drawing/2014/main" id="{00000000-0008-0000-0A00-000074000000}"/>
                    </a:ext>
                  </a:extLst>
                </xdr:cNvPr>
                <xdr:cNvSpPr/>
              </xdr:nvSpPr>
              <xdr:spPr>
                <a:xfrm>
                  <a:off x="9535507" y="21998151"/>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AD95B9-0995-467B-9CD8-7631D996BDB2}" type="TxLink">
                    <a:rPr lang="en-US" sz="1600" b="1" i="0" u="none" strike="noStrike">
                      <a:solidFill>
                        <a:srgbClr val="FF0000"/>
                      </a:solidFill>
                      <a:latin typeface="Century Gothic"/>
                    </a:rPr>
                    <a:pPr algn="ctr"/>
                    <a:t>-</a:t>
                  </a:fld>
                  <a:endParaRPr lang="es-CO" sz="2400" i="0">
                    <a:solidFill>
                      <a:srgbClr val="FF0000"/>
                    </a:solidFill>
                  </a:endParaRPr>
                </a:p>
              </xdr:txBody>
            </xdr:sp>
            <xdr:grpSp>
              <xdr:nvGrpSpPr>
                <xdr:cNvPr id="890" name="Grupo 889">
                  <a:extLst>
                    <a:ext uri="{FF2B5EF4-FFF2-40B4-BE49-F238E27FC236}">
                      <a16:creationId xmlns:a16="http://schemas.microsoft.com/office/drawing/2014/main" id="{00000000-0008-0000-0A00-0000DF010000}"/>
                    </a:ext>
                  </a:extLst>
                </xdr:cNvPr>
                <xdr:cNvGrpSpPr/>
              </xdr:nvGrpSpPr>
              <xdr:grpSpPr>
                <a:xfrm>
                  <a:off x="9635610" y="22358151"/>
                  <a:ext cx="769986" cy="272143"/>
                  <a:chOff x="10109347" y="12345767"/>
                  <a:chExt cx="770852" cy="272143"/>
                </a:xfrm>
              </xdr:grpSpPr>
              <xdr:sp macro="" textlink="$Q$9">
                <xdr:nvSpPr>
                  <xdr:cNvPr id="891" name="Rectángulo 890">
                    <a:extLst>
                      <a:ext uri="{FF2B5EF4-FFF2-40B4-BE49-F238E27FC236}">
                        <a16:creationId xmlns:a16="http://schemas.microsoft.com/office/drawing/2014/main" id="{00000000-0008-0000-0A00-00003C010000}"/>
                      </a:ext>
                    </a:extLst>
                  </xdr:cNvPr>
                  <xdr:cNvSpPr/>
                </xdr:nvSpPr>
                <xdr:spPr>
                  <a:xfrm>
                    <a:off x="10148201"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E18DF7B-0872-46B9-889B-B0498F440306}" type="TxLink">
                      <a:rPr lang="en-US" sz="1100" b="1" i="0" u="none" strike="noStrike">
                        <a:solidFill>
                          <a:srgbClr val="FF0000"/>
                        </a:solidFill>
                        <a:latin typeface="Century Gothic"/>
                      </a:rPr>
                      <a:pPr algn="ctr"/>
                      <a:t>-</a:t>
                    </a:fld>
                    <a:endParaRPr lang="es-CO" sz="1400" b="1">
                      <a:solidFill>
                        <a:srgbClr val="FF0000"/>
                      </a:solidFill>
                    </a:endParaRPr>
                  </a:p>
                </xdr:txBody>
              </xdr:sp>
              <xdr:sp macro="" textlink="$X$9">
                <xdr:nvSpPr>
                  <xdr:cNvPr id="892" name="Rectángulo 891">
                    <a:extLst>
                      <a:ext uri="{FF2B5EF4-FFF2-40B4-BE49-F238E27FC236}">
                        <a16:creationId xmlns:a16="http://schemas.microsoft.com/office/drawing/2014/main" id="{00000000-0008-0000-0A00-00003D010000}"/>
                      </a:ext>
                    </a:extLst>
                  </xdr:cNvPr>
                  <xdr:cNvSpPr/>
                </xdr:nvSpPr>
                <xdr:spPr>
                  <a:xfrm>
                    <a:off x="10424295"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5F2976-6331-4440-AEE4-996D563E139C}" type="TxLink">
                      <a:rPr lang="en-US" sz="1100" b="1" i="0" u="none" strike="noStrike">
                        <a:solidFill>
                          <a:srgbClr val="FF0000"/>
                        </a:solidFill>
                        <a:latin typeface="Century Gothic"/>
                      </a:rPr>
                      <a:pPr algn="ctr"/>
                      <a:t>-</a:t>
                    </a:fld>
                    <a:endParaRPr lang="es-CO" sz="1400" b="1">
                      <a:solidFill>
                        <a:srgbClr val="FF0000"/>
                      </a:solidFill>
                    </a:endParaRPr>
                  </a:p>
                </xdr:txBody>
              </xdr:sp>
              <xdr:sp macro="" textlink="">
                <xdr:nvSpPr>
                  <xdr:cNvPr id="893" name="CuadroTexto 892">
                    <a:extLst>
                      <a:ext uri="{FF2B5EF4-FFF2-40B4-BE49-F238E27FC236}">
                        <a16:creationId xmlns:a16="http://schemas.microsoft.com/office/drawing/2014/main" id="{00000000-0008-0000-0A00-0000DE010000}"/>
                      </a:ext>
                    </a:extLst>
                  </xdr:cNvPr>
                  <xdr:cNvSpPr txBox="1"/>
                </xdr:nvSpPr>
                <xdr:spPr>
                  <a:xfrm>
                    <a:off x="10109347" y="1235261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5" name="Grupo 844"/>
              <xdr:cNvGrpSpPr/>
            </xdr:nvGrpSpPr>
            <xdr:grpSpPr>
              <a:xfrm>
                <a:off x="9394558" y="20352202"/>
                <a:ext cx="934950" cy="828000"/>
                <a:chOff x="9544235" y="20352202"/>
                <a:chExt cx="934950" cy="828000"/>
              </a:xfrm>
            </xdr:grpSpPr>
            <xdr:sp macro="" textlink="">
              <xdr:nvSpPr>
                <xdr:cNvPr id="882" name="Elipse 881"/>
                <xdr:cNvSpPr/>
              </xdr:nvSpPr>
              <xdr:spPr>
                <a:xfrm>
                  <a:off x="9595756" y="20352202"/>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10">
              <xdr:nvSpPr>
                <xdr:cNvPr id="883" name="Rectángulo redondeado 882">
                  <a:extLst>
                    <a:ext uri="{FF2B5EF4-FFF2-40B4-BE49-F238E27FC236}">
                      <a16:creationId xmlns:a16="http://schemas.microsoft.com/office/drawing/2014/main" id="{00000000-0008-0000-0A00-000012000000}"/>
                    </a:ext>
                  </a:extLst>
                </xdr:cNvPr>
                <xdr:cNvSpPr/>
              </xdr:nvSpPr>
              <xdr:spPr>
                <a:xfrm>
                  <a:off x="9544235" y="20392495"/>
                  <a:ext cx="93495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59020AD-23A4-4B3B-A5DF-598891089555}" type="TxLink">
                    <a:rPr lang="en-US" sz="1600" b="1" i="0" u="none" strike="noStrike">
                      <a:solidFill>
                        <a:srgbClr val="FF0000"/>
                      </a:solidFill>
                      <a:latin typeface="Century Gothic"/>
                    </a:rPr>
                    <a:pPr algn="ctr"/>
                    <a:t>-</a:t>
                  </a:fld>
                  <a:endParaRPr lang="es-CO" sz="2400" b="1">
                    <a:solidFill>
                      <a:srgbClr val="FF0000"/>
                    </a:solidFill>
                  </a:endParaRPr>
                </a:p>
              </xdr:txBody>
            </xdr:sp>
            <xdr:grpSp>
              <xdr:nvGrpSpPr>
                <xdr:cNvPr id="884" name="Grupo 883">
                  <a:extLst>
                    <a:ext uri="{FF2B5EF4-FFF2-40B4-BE49-F238E27FC236}">
                      <a16:creationId xmlns:a16="http://schemas.microsoft.com/office/drawing/2014/main" id="{00000000-0008-0000-0A00-0000E3010000}"/>
                    </a:ext>
                  </a:extLst>
                </xdr:cNvPr>
                <xdr:cNvGrpSpPr/>
              </xdr:nvGrpSpPr>
              <xdr:grpSpPr>
                <a:xfrm>
                  <a:off x="9666526" y="20728026"/>
                  <a:ext cx="769986" cy="282294"/>
                  <a:chOff x="2429979" y="13559524"/>
                  <a:chExt cx="770852" cy="282294"/>
                </a:xfrm>
              </xdr:grpSpPr>
              <xdr:sp macro="" textlink="$Q$10">
                <xdr:nvSpPr>
                  <xdr:cNvPr id="885" name="Rectángulo 884">
                    <a:extLst>
                      <a:ext uri="{FF2B5EF4-FFF2-40B4-BE49-F238E27FC236}">
                        <a16:creationId xmlns:a16="http://schemas.microsoft.com/office/drawing/2014/main" id="{00000000-0008-0000-0A00-00003E010000}"/>
                      </a:ext>
                    </a:extLst>
                  </xdr:cNvPr>
                  <xdr:cNvSpPr/>
                </xdr:nvSpPr>
                <xdr:spPr>
                  <a:xfrm>
                    <a:off x="2462887"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D37344E-E2CA-4BB2-9B73-CB8C2FED9146}" type="TxLink">
                      <a:rPr lang="en-US" sz="1100" b="1" i="0" u="none" strike="noStrike">
                        <a:solidFill>
                          <a:srgbClr val="FF0000"/>
                        </a:solidFill>
                        <a:latin typeface="Century Gothic"/>
                      </a:rPr>
                      <a:pPr algn="ctr"/>
                      <a:t>-</a:t>
                    </a:fld>
                    <a:endParaRPr lang="es-CO" sz="1600" b="1">
                      <a:solidFill>
                        <a:srgbClr val="FF0000"/>
                      </a:solidFill>
                    </a:endParaRPr>
                  </a:p>
                </xdr:txBody>
              </xdr:sp>
              <xdr:sp macro="" textlink="$X$10">
                <xdr:nvSpPr>
                  <xdr:cNvPr id="886" name="Rectángulo 885">
                    <a:extLst>
                      <a:ext uri="{FF2B5EF4-FFF2-40B4-BE49-F238E27FC236}">
                        <a16:creationId xmlns:a16="http://schemas.microsoft.com/office/drawing/2014/main" id="{00000000-0008-0000-0A00-00003F010000}"/>
                      </a:ext>
                    </a:extLst>
                  </xdr:cNvPr>
                  <xdr:cNvSpPr/>
                </xdr:nvSpPr>
                <xdr:spPr>
                  <a:xfrm>
                    <a:off x="2738981"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EF3F8F4-A475-4DF6-8B5C-640206088CBC}" type="TxLink">
                      <a:rPr lang="en-US" sz="1100" b="1" i="0" u="none" strike="noStrike">
                        <a:solidFill>
                          <a:srgbClr val="FF0000"/>
                        </a:solidFill>
                        <a:latin typeface="Century Gothic"/>
                      </a:rPr>
                      <a:pPr algn="ctr"/>
                      <a:t>-</a:t>
                    </a:fld>
                    <a:endParaRPr lang="es-CO" sz="1600" b="1">
                      <a:solidFill>
                        <a:srgbClr val="FF0000"/>
                      </a:solidFill>
                    </a:endParaRPr>
                  </a:p>
                </xdr:txBody>
              </xdr:sp>
              <xdr:sp macro="" textlink="">
                <xdr:nvSpPr>
                  <xdr:cNvPr id="887" name="CuadroTexto 886">
                    <a:extLst>
                      <a:ext uri="{FF2B5EF4-FFF2-40B4-BE49-F238E27FC236}">
                        <a16:creationId xmlns:a16="http://schemas.microsoft.com/office/drawing/2014/main" id="{00000000-0008-0000-0A00-0000E2010000}"/>
                      </a:ext>
                    </a:extLst>
                  </xdr:cNvPr>
                  <xdr:cNvSpPr txBox="1"/>
                </xdr:nvSpPr>
                <xdr:spPr>
                  <a:xfrm>
                    <a:off x="2429979" y="13577258"/>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6" name="Grupo 845"/>
              <xdr:cNvGrpSpPr/>
            </xdr:nvGrpSpPr>
            <xdr:grpSpPr>
              <a:xfrm>
                <a:off x="9422246" y="19501756"/>
                <a:ext cx="934950" cy="828000"/>
                <a:chOff x="9571923" y="19501756"/>
                <a:chExt cx="934950" cy="828000"/>
              </a:xfrm>
            </xdr:grpSpPr>
            <xdr:sp macro="" textlink="">
              <xdr:nvSpPr>
                <xdr:cNvPr id="875" name="Elipse 874"/>
                <xdr:cNvSpPr/>
              </xdr:nvSpPr>
              <xdr:spPr>
                <a:xfrm>
                  <a:off x="9595756" y="19501756"/>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76" name="Grupo 875"/>
                <xdr:cNvGrpSpPr/>
              </xdr:nvGrpSpPr>
              <xdr:grpSpPr>
                <a:xfrm>
                  <a:off x="9571923" y="19551575"/>
                  <a:ext cx="934950" cy="634889"/>
                  <a:chOff x="9721600" y="18163646"/>
                  <a:chExt cx="934950" cy="634889"/>
                </a:xfrm>
              </xdr:grpSpPr>
              <xdr:sp macro="" textlink="$R$11">
                <xdr:nvSpPr>
                  <xdr:cNvPr id="877" name="Rectángulo redondeado 876">
                    <a:extLst>
                      <a:ext uri="{FF2B5EF4-FFF2-40B4-BE49-F238E27FC236}">
                        <a16:creationId xmlns:a16="http://schemas.microsoft.com/office/drawing/2014/main" id="{00000000-0008-0000-0A00-000018000000}"/>
                      </a:ext>
                    </a:extLst>
                  </xdr:cNvPr>
                  <xdr:cNvSpPr/>
                </xdr:nvSpPr>
                <xdr:spPr>
                  <a:xfrm>
                    <a:off x="9721600" y="18163646"/>
                    <a:ext cx="93495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BB874A2-5303-4DAC-91C7-895980FE035D}" type="TxLink">
                      <a:rPr lang="en-US" sz="1600" b="1" i="0" u="none" strike="noStrike">
                        <a:solidFill>
                          <a:srgbClr val="FF0000"/>
                        </a:solidFill>
                        <a:latin typeface="Century Gothic"/>
                      </a:rPr>
                      <a:pPr algn="ctr"/>
                      <a:t>25,0%</a:t>
                    </a:fld>
                    <a:endParaRPr lang="es-CO" sz="2800" b="1">
                      <a:solidFill>
                        <a:srgbClr val="FF0000"/>
                      </a:solidFill>
                    </a:endParaRPr>
                  </a:p>
                </xdr:txBody>
              </xdr:sp>
              <xdr:grpSp>
                <xdr:nvGrpSpPr>
                  <xdr:cNvPr id="878" name="Grupo 877"/>
                  <xdr:cNvGrpSpPr/>
                </xdr:nvGrpSpPr>
                <xdr:grpSpPr>
                  <a:xfrm>
                    <a:off x="9795132" y="18526392"/>
                    <a:ext cx="707300" cy="272143"/>
                    <a:chOff x="9795132" y="18526392"/>
                    <a:chExt cx="707300" cy="272143"/>
                  </a:xfrm>
                </xdr:grpSpPr>
                <xdr:sp macro="" textlink="$Q$11">
                  <xdr:nvSpPr>
                    <xdr:cNvPr id="880" name="Rectángulo 879">
                      <a:extLst>
                        <a:ext uri="{FF2B5EF4-FFF2-40B4-BE49-F238E27FC236}">
                          <a16:creationId xmlns:a16="http://schemas.microsoft.com/office/drawing/2014/main" id="{00000000-0008-0000-0A00-000040010000}"/>
                        </a:ext>
                      </a:extLst>
                    </xdr:cNvPr>
                    <xdr:cNvSpPr/>
                  </xdr:nvSpPr>
                  <xdr:spPr>
                    <a:xfrm>
                      <a:off x="9795132" y="18526392"/>
                      <a:ext cx="431515"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930B1E-F46F-4043-9DCC-50BDF872D752}" type="TxLink">
                        <a:rPr lang="en-US" sz="1100" b="1" i="0" u="none" strike="noStrike">
                          <a:solidFill>
                            <a:srgbClr val="FF0000"/>
                          </a:solidFill>
                          <a:latin typeface="Century Gothic"/>
                        </a:rPr>
                        <a:pPr algn="ctr"/>
                        <a:t>3</a:t>
                      </a:fld>
                      <a:endParaRPr lang="es-CO" sz="1800" b="1">
                        <a:solidFill>
                          <a:srgbClr val="FF0000"/>
                        </a:solidFill>
                      </a:endParaRPr>
                    </a:p>
                  </xdr:txBody>
                </xdr:sp>
                <xdr:sp macro="" textlink="$X$11">
                  <xdr:nvSpPr>
                    <xdr:cNvPr id="881" name="Rectángulo 880">
                      <a:extLst>
                        <a:ext uri="{FF2B5EF4-FFF2-40B4-BE49-F238E27FC236}">
                          <a16:creationId xmlns:a16="http://schemas.microsoft.com/office/drawing/2014/main" id="{00000000-0008-0000-0A00-000041010000}"/>
                        </a:ext>
                      </a:extLst>
                    </xdr:cNvPr>
                    <xdr:cNvSpPr/>
                  </xdr:nvSpPr>
                  <xdr:spPr>
                    <a:xfrm>
                      <a:off x="10070917" y="18526392"/>
                      <a:ext cx="431515"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D1CC6A1-C704-48FC-91E5-7A521717295A}" type="TxLink">
                        <a:rPr lang="en-US" sz="1100" b="1" i="0" u="none" strike="noStrike">
                          <a:solidFill>
                            <a:srgbClr val="FF0000"/>
                          </a:solidFill>
                          <a:latin typeface="Century Gothic"/>
                        </a:rPr>
                        <a:pPr algn="ctr"/>
                        <a:t>12</a:t>
                      </a:fld>
                      <a:endParaRPr lang="es-CO" sz="1800" b="1">
                        <a:solidFill>
                          <a:srgbClr val="FF0000"/>
                        </a:solidFill>
                      </a:endParaRPr>
                    </a:p>
                  </xdr:txBody>
                </xdr:sp>
              </xdr:grpSp>
              <xdr:sp macro="" textlink="">
                <xdr:nvSpPr>
                  <xdr:cNvPr id="879" name="CuadroTexto 878">
                    <a:extLst>
                      <a:ext uri="{FF2B5EF4-FFF2-40B4-BE49-F238E27FC236}">
                        <a16:creationId xmlns:a16="http://schemas.microsoft.com/office/drawing/2014/main" id="{00000000-0008-0000-0A00-0000E4010000}"/>
                      </a:ext>
                    </a:extLst>
                  </xdr:cNvPr>
                  <xdr:cNvSpPr txBox="1"/>
                </xdr:nvSpPr>
                <xdr:spPr>
                  <a:xfrm>
                    <a:off x="9759539" y="18527793"/>
                    <a:ext cx="76998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7" name="Grupo 846"/>
              <xdr:cNvGrpSpPr/>
            </xdr:nvGrpSpPr>
            <xdr:grpSpPr>
              <a:xfrm>
                <a:off x="621102" y="23681872"/>
                <a:ext cx="934949" cy="828000"/>
                <a:chOff x="1151781" y="18239014"/>
                <a:chExt cx="934949" cy="828000"/>
              </a:xfrm>
            </xdr:grpSpPr>
            <xdr:sp macro="" textlink="">
              <xdr:nvSpPr>
                <xdr:cNvPr id="869" name="Elipse 868"/>
                <xdr:cNvSpPr/>
              </xdr:nvSpPr>
              <xdr:spPr>
                <a:xfrm>
                  <a:off x="1189263" y="18239014"/>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13">
              <xdr:nvSpPr>
                <xdr:cNvPr id="870" name="Rectángulo redondeado 869">
                  <a:extLst>
                    <a:ext uri="{FF2B5EF4-FFF2-40B4-BE49-F238E27FC236}">
                      <a16:creationId xmlns:a16="http://schemas.microsoft.com/office/drawing/2014/main" id="{00000000-0008-0000-0A00-000020000000}"/>
                    </a:ext>
                  </a:extLst>
                </xdr:cNvPr>
                <xdr:cNvSpPr/>
              </xdr:nvSpPr>
              <xdr:spPr>
                <a:xfrm>
                  <a:off x="1151781" y="18277950"/>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01157ED-9277-426E-A891-F29548C1743B}" type="TxLink">
                    <a:rPr lang="en-US" sz="1600" b="1" i="0" u="none" strike="noStrike">
                      <a:solidFill>
                        <a:srgbClr val="FF0000"/>
                      </a:solidFill>
                      <a:latin typeface="Century Gothic"/>
                    </a:rPr>
                    <a:pPr algn="ctr"/>
                    <a:t>90,9%</a:t>
                  </a:fld>
                  <a:endParaRPr lang="es-CO" sz="2800">
                    <a:solidFill>
                      <a:srgbClr val="FF0000"/>
                    </a:solidFill>
                  </a:endParaRPr>
                </a:p>
              </xdr:txBody>
            </xdr:sp>
            <xdr:grpSp>
              <xdr:nvGrpSpPr>
                <xdr:cNvPr id="871" name="Grupo 870">
                  <a:extLst>
                    <a:ext uri="{FF2B5EF4-FFF2-40B4-BE49-F238E27FC236}">
                      <a16:creationId xmlns:a16="http://schemas.microsoft.com/office/drawing/2014/main" id="{00000000-0008-0000-0A00-0000EC010000}"/>
                    </a:ext>
                  </a:extLst>
                </xdr:cNvPr>
                <xdr:cNvGrpSpPr/>
              </xdr:nvGrpSpPr>
              <xdr:grpSpPr>
                <a:xfrm>
                  <a:off x="1191308" y="18623748"/>
                  <a:ext cx="769986" cy="281964"/>
                  <a:chOff x="8330530" y="13550746"/>
                  <a:chExt cx="770852" cy="281964"/>
                </a:xfrm>
              </xdr:grpSpPr>
              <xdr:sp macro="" textlink="$Q$13">
                <xdr:nvSpPr>
                  <xdr:cNvPr id="872" name="Rectángulo 871">
                    <a:extLst>
                      <a:ext uri="{FF2B5EF4-FFF2-40B4-BE49-F238E27FC236}">
                        <a16:creationId xmlns:a16="http://schemas.microsoft.com/office/drawing/2014/main" id="{00000000-0008-0000-0A00-000044010000}"/>
                      </a:ext>
                    </a:extLst>
                  </xdr:cNvPr>
                  <xdr:cNvSpPr/>
                </xdr:nvSpPr>
                <xdr:spPr>
                  <a:xfrm>
                    <a:off x="8371601" y="1356056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C01819A-6D68-46BA-B78A-B40D3F77F8D2}" type="TxLink">
                      <a:rPr lang="en-US" sz="1100" b="1" i="0" u="none" strike="noStrike">
                        <a:solidFill>
                          <a:srgbClr val="FF0000"/>
                        </a:solidFill>
                        <a:latin typeface="Century Gothic"/>
                      </a:rPr>
                      <a:pPr algn="ctr"/>
                      <a:t>10</a:t>
                    </a:fld>
                    <a:endParaRPr lang="es-CO" sz="2400" b="1">
                      <a:solidFill>
                        <a:srgbClr val="FF0000"/>
                      </a:solidFill>
                    </a:endParaRPr>
                  </a:p>
                </xdr:txBody>
              </xdr:sp>
              <xdr:sp macro="" textlink="$X$13">
                <xdr:nvSpPr>
                  <xdr:cNvPr id="873" name="Rectángulo 872">
                    <a:extLst>
                      <a:ext uri="{FF2B5EF4-FFF2-40B4-BE49-F238E27FC236}">
                        <a16:creationId xmlns:a16="http://schemas.microsoft.com/office/drawing/2014/main" id="{00000000-0008-0000-0A00-000045010000}"/>
                      </a:ext>
                    </a:extLst>
                  </xdr:cNvPr>
                  <xdr:cNvSpPr/>
                </xdr:nvSpPr>
                <xdr:spPr>
                  <a:xfrm>
                    <a:off x="8647695" y="135605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350DF86-671D-4233-BCAA-70BA56C1A018}" type="TxLink">
                      <a:rPr lang="en-US" sz="1100" b="1" i="0" u="none" strike="noStrike">
                        <a:solidFill>
                          <a:srgbClr val="FF0000"/>
                        </a:solidFill>
                        <a:latin typeface="Century Gothic"/>
                      </a:rPr>
                      <a:pPr algn="ctr"/>
                      <a:t>11</a:t>
                    </a:fld>
                    <a:endParaRPr lang="es-CO" sz="2400" b="1">
                      <a:solidFill>
                        <a:srgbClr val="FF0000"/>
                      </a:solidFill>
                    </a:endParaRPr>
                  </a:p>
                </xdr:txBody>
              </xdr:sp>
              <xdr:sp macro="" textlink="">
                <xdr:nvSpPr>
                  <xdr:cNvPr id="874" name="CuadroTexto 873">
                    <a:extLst>
                      <a:ext uri="{FF2B5EF4-FFF2-40B4-BE49-F238E27FC236}">
                        <a16:creationId xmlns:a16="http://schemas.microsoft.com/office/drawing/2014/main" id="{00000000-0008-0000-0A00-0000EB010000}"/>
                      </a:ext>
                    </a:extLst>
                  </xdr:cNvPr>
                  <xdr:cNvSpPr txBox="1"/>
                </xdr:nvSpPr>
                <xdr:spPr>
                  <a:xfrm>
                    <a:off x="8330530" y="1355074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8" name="Grupo 847"/>
              <xdr:cNvGrpSpPr/>
            </xdr:nvGrpSpPr>
            <xdr:grpSpPr>
              <a:xfrm>
                <a:off x="8661872" y="22389193"/>
                <a:ext cx="934949" cy="828000"/>
                <a:chOff x="2334551" y="16823872"/>
                <a:chExt cx="934949" cy="828000"/>
              </a:xfrm>
            </xdr:grpSpPr>
            <xdr:sp macro="" textlink="">
              <xdr:nvSpPr>
                <xdr:cNvPr id="863" name="Elipse 862"/>
                <xdr:cNvSpPr/>
              </xdr:nvSpPr>
              <xdr:spPr>
                <a:xfrm>
                  <a:off x="2373085" y="16823872"/>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14">
              <xdr:nvSpPr>
                <xdr:cNvPr id="864" name="Rectángulo redondeado 863">
                  <a:extLst>
                    <a:ext uri="{FF2B5EF4-FFF2-40B4-BE49-F238E27FC236}">
                      <a16:creationId xmlns:a16="http://schemas.microsoft.com/office/drawing/2014/main" id="{00000000-0008-0000-0A00-000024000000}"/>
                    </a:ext>
                  </a:extLst>
                </xdr:cNvPr>
                <xdr:cNvSpPr/>
              </xdr:nvSpPr>
              <xdr:spPr>
                <a:xfrm>
                  <a:off x="2334551" y="16879138"/>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56E95A1-F8BE-454F-8453-F0CDF2DAC9B3}" type="TxLink">
                    <a:rPr lang="en-US" sz="1600" b="1" i="0" u="none" strike="noStrike">
                      <a:solidFill>
                        <a:srgbClr val="FF0000"/>
                      </a:solidFill>
                      <a:latin typeface="Century Gothic"/>
                    </a:rPr>
                    <a:pPr algn="ctr"/>
                    <a:t>7,7%</a:t>
                  </a:fld>
                  <a:endParaRPr lang="es-CO" sz="2800">
                    <a:solidFill>
                      <a:srgbClr val="FF0000"/>
                    </a:solidFill>
                  </a:endParaRPr>
                </a:p>
              </xdr:txBody>
            </xdr:sp>
            <xdr:grpSp>
              <xdr:nvGrpSpPr>
                <xdr:cNvPr id="865" name="Grupo 864">
                  <a:extLst>
                    <a:ext uri="{FF2B5EF4-FFF2-40B4-BE49-F238E27FC236}">
                      <a16:creationId xmlns:a16="http://schemas.microsoft.com/office/drawing/2014/main" id="{00000000-0008-0000-0A00-0000EF010000}"/>
                    </a:ext>
                  </a:extLst>
                </xdr:cNvPr>
                <xdr:cNvGrpSpPr/>
              </xdr:nvGrpSpPr>
              <xdr:grpSpPr>
                <a:xfrm>
                  <a:off x="2381655" y="17226620"/>
                  <a:ext cx="769986" cy="273799"/>
                  <a:chOff x="10230583" y="13527939"/>
                  <a:chExt cx="770852" cy="273799"/>
                </a:xfrm>
              </xdr:grpSpPr>
              <xdr:sp macro="" textlink="$Q$14">
                <xdr:nvSpPr>
                  <xdr:cNvPr id="866" name="Rectángulo 865">
                    <a:extLst>
                      <a:ext uri="{FF2B5EF4-FFF2-40B4-BE49-F238E27FC236}">
                        <a16:creationId xmlns:a16="http://schemas.microsoft.com/office/drawing/2014/main" id="{00000000-0008-0000-0A00-000046010000}"/>
                      </a:ext>
                    </a:extLst>
                  </xdr:cNvPr>
                  <xdr:cNvSpPr/>
                </xdr:nvSpPr>
                <xdr:spPr>
                  <a:xfrm>
                    <a:off x="10243446" y="1352959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420B103-A8DF-4896-9F3F-12EDE2CBFC6E}" type="TxLink">
                      <a:rPr lang="en-US" sz="1100" b="1" i="0" u="none" strike="noStrike">
                        <a:solidFill>
                          <a:srgbClr val="FF0000"/>
                        </a:solidFill>
                        <a:latin typeface="Century Gothic"/>
                      </a:rPr>
                      <a:pPr algn="ctr"/>
                      <a:t>2</a:t>
                    </a:fld>
                    <a:endParaRPr lang="es-CO" sz="2800" b="1">
                      <a:solidFill>
                        <a:srgbClr val="FF0000"/>
                      </a:solidFill>
                    </a:endParaRPr>
                  </a:p>
                </xdr:txBody>
              </xdr:sp>
              <xdr:sp macro="" textlink="$X$14">
                <xdr:nvSpPr>
                  <xdr:cNvPr id="867" name="Rectángulo 866">
                    <a:extLst>
                      <a:ext uri="{FF2B5EF4-FFF2-40B4-BE49-F238E27FC236}">
                        <a16:creationId xmlns:a16="http://schemas.microsoft.com/office/drawing/2014/main" id="{00000000-0008-0000-0A00-000047010000}"/>
                      </a:ext>
                    </a:extLst>
                  </xdr:cNvPr>
                  <xdr:cNvSpPr/>
                </xdr:nvSpPr>
                <xdr:spPr>
                  <a:xfrm>
                    <a:off x="10545523" y="1352959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F05D5FA-0F49-4E18-972F-CDF4AD2419AF}" type="TxLink">
                      <a:rPr lang="en-US" sz="1100" b="1" i="0" u="none" strike="noStrike">
                        <a:solidFill>
                          <a:srgbClr val="FF0000"/>
                        </a:solidFill>
                        <a:latin typeface="Century Gothic"/>
                      </a:rPr>
                      <a:pPr algn="ctr"/>
                      <a:t>26</a:t>
                    </a:fld>
                    <a:endParaRPr lang="es-CO" sz="2800" b="1">
                      <a:solidFill>
                        <a:srgbClr val="FF0000"/>
                      </a:solidFill>
                    </a:endParaRPr>
                  </a:p>
                </xdr:txBody>
              </xdr:sp>
              <xdr:sp macro="" textlink="">
                <xdr:nvSpPr>
                  <xdr:cNvPr id="868" name="CuadroTexto 867">
                    <a:extLst>
                      <a:ext uri="{FF2B5EF4-FFF2-40B4-BE49-F238E27FC236}">
                        <a16:creationId xmlns:a16="http://schemas.microsoft.com/office/drawing/2014/main" id="{00000000-0008-0000-0A00-0000EE010000}"/>
                      </a:ext>
                    </a:extLst>
                  </xdr:cNvPr>
                  <xdr:cNvSpPr txBox="1"/>
                </xdr:nvSpPr>
                <xdr:spPr>
                  <a:xfrm>
                    <a:off x="10230583" y="13527939"/>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49" name="Grupo 848"/>
              <xdr:cNvGrpSpPr/>
            </xdr:nvGrpSpPr>
            <xdr:grpSpPr>
              <a:xfrm>
                <a:off x="5302434" y="24624845"/>
                <a:ext cx="934950" cy="828000"/>
                <a:chOff x="5084722" y="24597631"/>
                <a:chExt cx="934950" cy="828000"/>
              </a:xfrm>
            </xdr:grpSpPr>
            <xdr:sp macro="" textlink="">
              <xdr:nvSpPr>
                <xdr:cNvPr id="857" name="Elipse 856"/>
                <xdr:cNvSpPr/>
              </xdr:nvSpPr>
              <xdr:spPr>
                <a:xfrm>
                  <a:off x="5119008" y="24597631"/>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17">
              <xdr:nvSpPr>
                <xdr:cNvPr id="858" name="Rectángulo redondeado 857">
                  <a:extLst>
                    <a:ext uri="{FF2B5EF4-FFF2-40B4-BE49-F238E27FC236}">
                      <a16:creationId xmlns:a16="http://schemas.microsoft.com/office/drawing/2014/main" id="{00000000-0008-0000-0A00-000030000000}"/>
                    </a:ext>
                  </a:extLst>
                </xdr:cNvPr>
                <xdr:cNvSpPr/>
              </xdr:nvSpPr>
              <xdr:spPr>
                <a:xfrm>
                  <a:off x="5084722" y="24673308"/>
                  <a:ext cx="93495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93FCD0E-8549-40C5-8D0A-7FCC5024ED97}" type="TxLink">
                    <a:rPr lang="en-US" sz="1600" b="1" i="0" u="none" strike="noStrike">
                      <a:solidFill>
                        <a:srgbClr val="FF0000"/>
                      </a:solidFill>
                      <a:latin typeface="Century Gothic"/>
                    </a:rPr>
                    <a:pPr algn="ctr"/>
                    <a:t>22,2%</a:t>
                  </a:fld>
                  <a:endParaRPr lang="es-CO" sz="2800">
                    <a:solidFill>
                      <a:srgbClr val="FF0000"/>
                    </a:solidFill>
                  </a:endParaRPr>
                </a:p>
              </xdr:txBody>
            </xdr:sp>
            <xdr:grpSp>
              <xdr:nvGrpSpPr>
                <xdr:cNvPr id="859" name="Grupo 858">
                  <a:extLst>
                    <a:ext uri="{FF2B5EF4-FFF2-40B4-BE49-F238E27FC236}">
                      <a16:creationId xmlns:a16="http://schemas.microsoft.com/office/drawing/2014/main" id="{00000000-0008-0000-0A00-0000F8010000}"/>
                    </a:ext>
                  </a:extLst>
                </xdr:cNvPr>
                <xdr:cNvGrpSpPr/>
              </xdr:nvGrpSpPr>
              <xdr:grpSpPr>
                <a:xfrm>
                  <a:off x="5139487" y="25013304"/>
                  <a:ext cx="769986" cy="292171"/>
                  <a:chOff x="6479987" y="14306945"/>
                  <a:chExt cx="770852" cy="292171"/>
                </a:xfrm>
              </xdr:grpSpPr>
              <xdr:sp macro="" textlink="$Q$17">
                <xdr:nvSpPr>
                  <xdr:cNvPr id="860" name="Rectángulo 859">
                    <a:extLst>
                      <a:ext uri="{FF2B5EF4-FFF2-40B4-BE49-F238E27FC236}">
                        <a16:creationId xmlns:a16="http://schemas.microsoft.com/office/drawing/2014/main" id="{00000000-0008-0000-0A00-00004C010000}"/>
                      </a:ext>
                    </a:extLst>
                  </xdr:cNvPr>
                  <xdr:cNvSpPr/>
                </xdr:nvSpPr>
                <xdr:spPr>
                  <a:xfrm>
                    <a:off x="6482448"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8F42584-A08F-44A7-B516-80FE626D7683}" type="TxLink">
                      <a:rPr lang="en-US" sz="1100" b="1" i="0" u="none" strike="noStrike">
                        <a:solidFill>
                          <a:srgbClr val="FF0000"/>
                        </a:solidFill>
                        <a:latin typeface="Century Gothic"/>
                      </a:rPr>
                      <a:pPr algn="ctr"/>
                      <a:t>4</a:t>
                    </a:fld>
                    <a:endParaRPr lang="es-CO" sz="4000" b="1">
                      <a:solidFill>
                        <a:srgbClr val="FF0000"/>
                      </a:solidFill>
                    </a:endParaRPr>
                  </a:p>
                </xdr:txBody>
              </xdr:sp>
              <xdr:sp macro="" textlink="$X$17">
                <xdr:nvSpPr>
                  <xdr:cNvPr id="861" name="Rectángulo 860">
                    <a:extLst>
                      <a:ext uri="{FF2B5EF4-FFF2-40B4-BE49-F238E27FC236}">
                        <a16:creationId xmlns:a16="http://schemas.microsoft.com/office/drawing/2014/main" id="{00000000-0008-0000-0A00-00004D010000}"/>
                      </a:ext>
                    </a:extLst>
                  </xdr:cNvPr>
                  <xdr:cNvSpPr/>
                </xdr:nvSpPr>
                <xdr:spPr>
                  <a:xfrm>
                    <a:off x="6758543"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A4287A2-B85C-4F3A-A2D3-1739BD04697C}" type="TxLink">
                      <a:rPr lang="en-US" sz="1100" b="1" i="0" u="none" strike="noStrike">
                        <a:solidFill>
                          <a:srgbClr val="FF0000"/>
                        </a:solidFill>
                        <a:latin typeface="Century Gothic"/>
                      </a:rPr>
                      <a:pPr algn="ctr"/>
                      <a:t>18</a:t>
                    </a:fld>
                    <a:endParaRPr lang="es-CO" sz="4000" b="1">
                      <a:solidFill>
                        <a:srgbClr val="FF0000"/>
                      </a:solidFill>
                    </a:endParaRPr>
                  </a:p>
                </xdr:txBody>
              </xdr:sp>
              <xdr:sp macro="" textlink="">
                <xdr:nvSpPr>
                  <xdr:cNvPr id="862" name="CuadroTexto 861">
                    <a:extLst>
                      <a:ext uri="{FF2B5EF4-FFF2-40B4-BE49-F238E27FC236}">
                        <a16:creationId xmlns:a16="http://schemas.microsoft.com/office/drawing/2014/main" id="{00000000-0008-0000-0A00-0000F7010000}"/>
                      </a:ext>
                    </a:extLst>
                  </xdr:cNvPr>
                  <xdr:cNvSpPr txBox="1"/>
                </xdr:nvSpPr>
                <xdr:spPr>
                  <a:xfrm>
                    <a:off x="6479987" y="1430694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850" name="Grupo 849"/>
              <xdr:cNvGrpSpPr/>
            </xdr:nvGrpSpPr>
            <xdr:grpSpPr>
              <a:xfrm>
                <a:off x="5277510" y="23679153"/>
                <a:ext cx="934949" cy="828000"/>
                <a:chOff x="11155796" y="21474796"/>
                <a:chExt cx="934949" cy="828000"/>
              </a:xfrm>
            </xdr:grpSpPr>
            <xdr:sp macro="" textlink="">
              <xdr:nvSpPr>
                <xdr:cNvPr id="851" name="Elipse 850"/>
                <xdr:cNvSpPr/>
              </xdr:nvSpPr>
              <xdr:spPr>
                <a:xfrm>
                  <a:off x="11187792" y="21474796"/>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R$18">
              <xdr:nvSpPr>
                <xdr:cNvPr id="852" name="Rectángulo redondeado 851">
                  <a:extLst>
                    <a:ext uri="{FF2B5EF4-FFF2-40B4-BE49-F238E27FC236}">
                      <a16:creationId xmlns:a16="http://schemas.microsoft.com/office/drawing/2014/main" id="{00000000-0008-0000-0A00-000034000000}"/>
                    </a:ext>
                  </a:extLst>
                </xdr:cNvPr>
                <xdr:cNvSpPr/>
              </xdr:nvSpPr>
              <xdr:spPr>
                <a:xfrm>
                  <a:off x="11155796" y="21532782"/>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57702BE-4907-45D3-A1C6-771521E8ADB6}" type="TxLink">
                    <a:rPr lang="en-US" sz="1600" b="1" i="0" u="none" strike="noStrike">
                      <a:solidFill>
                        <a:srgbClr val="FF0000"/>
                      </a:solidFill>
                      <a:latin typeface="Century Gothic"/>
                    </a:rPr>
                    <a:pPr algn="ctr"/>
                    <a:t>21,7%</a:t>
                  </a:fld>
                  <a:endParaRPr lang="es-CO" sz="2800">
                    <a:solidFill>
                      <a:srgbClr val="FF0000"/>
                    </a:solidFill>
                  </a:endParaRPr>
                </a:p>
              </xdr:txBody>
            </xdr:sp>
            <xdr:grpSp>
              <xdr:nvGrpSpPr>
                <xdr:cNvPr id="853" name="Grupo 852">
                  <a:extLst>
                    <a:ext uri="{FF2B5EF4-FFF2-40B4-BE49-F238E27FC236}">
                      <a16:creationId xmlns:a16="http://schemas.microsoft.com/office/drawing/2014/main" id="{00000000-0008-0000-0A00-0000FB010000}"/>
                    </a:ext>
                  </a:extLst>
                </xdr:cNvPr>
                <xdr:cNvGrpSpPr/>
              </xdr:nvGrpSpPr>
              <xdr:grpSpPr>
                <a:xfrm>
                  <a:off x="11188832" y="21893868"/>
                  <a:ext cx="769986" cy="284688"/>
                  <a:chOff x="8340423" y="14317151"/>
                  <a:chExt cx="770852" cy="284688"/>
                </a:xfrm>
              </xdr:grpSpPr>
              <xdr:sp macro="" textlink="$Q$18">
                <xdr:nvSpPr>
                  <xdr:cNvPr id="854" name="Rectángulo 853">
                    <a:extLst>
                      <a:ext uri="{FF2B5EF4-FFF2-40B4-BE49-F238E27FC236}">
                        <a16:creationId xmlns:a16="http://schemas.microsoft.com/office/drawing/2014/main" id="{00000000-0008-0000-0A00-00004E010000}"/>
                      </a:ext>
                    </a:extLst>
                  </xdr:cNvPr>
                  <xdr:cNvSpPr/>
                </xdr:nvSpPr>
                <xdr:spPr>
                  <a:xfrm>
                    <a:off x="8376562"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E2E001-B77E-4DDB-AF9B-34D3AFEA8813}" type="TxLink">
                      <a:rPr lang="en-US" sz="1100" b="1" i="0" u="none" strike="noStrike">
                        <a:solidFill>
                          <a:srgbClr val="FF0000"/>
                        </a:solidFill>
                        <a:latin typeface="Century Gothic"/>
                      </a:rPr>
                      <a:pPr algn="ctr"/>
                      <a:t>5</a:t>
                    </a:fld>
                    <a:endParaRPr lang="es-CO" sz="4400" b="1">
                      <a:solidFill>
                        <a:srgbClr val="FF0000"/>
                      </a:solidFill>
                    </a:endParaRPr>
                  </a:p>
                </xdr:txBody>
              </xdr:sp>
              <xdr:sp macro="" textlink="$X$18">
                <xdr:nvSpPr>
                  <xdr:cNvPr id="855" name="Rectángulo 854">
                    <a:extLst>
                      <a:ext uri="{FF2B5EF4-FFF2-40B4-BE49-F238E27FC236}">
                        <a16:creationId xmlns:a16="http://schemas.microsoft.com/office/drawing/2014/main" id="{00000000-0008-0000-0A00-00004F010000}"/>
                      </a:ext>
                    </a:extLst>
                  </xdr:cNvPr>
                  <xdr:cNvSpPr/>
                </xdr:nvSpPr>
                <xdr:spPr>
                  <a:xfrm>
                    <a:off x="8652656"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D97108F-3E80-4C17-9380-2C973F31C999}" type="TxLink">
                      <a:rPr lang="en-US" sz="1100" b="1" i="0" u="none" strike="noStrike">
                        <a:solidFill>
                          <a:srgbClr val="FF0000"/>
                        </a:solidFill>
                        <a:latin typeface="Century Gothic"/>
                      </a:rPr>
                      <a:pPr algn="ctr"/>
                      <a:t>23</a:t>
                    </a:fld>
                    <a:endParaRPr lang="es-CO" sz="4400" b="1">
                      <a:solidFill>
                        <a:srgbClr val="FF0000"/>
                      </a:solidFill>
                    </a:endParaRPr>
                  </a:p>
                </xdr:txBody>
              </xdr:sp>
              <xdr:sp macro="" textlink="">
                <xdr:nvSpPr>
                  <xdr:cNvPr id="856" name="CuadroTexto 855">
                    <a:extLst>
                      <a:ext uri="{FF2B5EF4-FFF2-40B4-BE49-F238E27FC236}">
                        <a16:creationId xmlns:a16="http://schemas.microsoft.com/office/drawing/2014/main" id="{00000000-0008-0000-0A00-0000FA010000}"/>
                      </a:ext>
                    </a:extLst>
                  </xdr:cNvPr>
                  <xdr:cNvSpPr txBox="1"/>
                </xdr:nvSpPr>
                <xdr:spPr>
                  <a:xfrm>
                    <a:off x="8340423" y="14317151"/>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grpSp>
    </xdr:grpSp>
    <xdr:clientData/>
  </xdr:twoCellAnchor>
  <xdr:twoCellAnchor editAs="absolute">
    <xdr:from>
      <xdr:col>23</xdr:col>
      <xdr:colOff>824991</xdr:colOff>
      <xdr:row>35</xdr:row>
      <xdr:rowOff>80400</xdr:rowOff>
    </xdr:from>
    <xdr:to>
      <xdr:col>37</xdr:col>
      <xdr:colOff>234017</xdr:colOff>
      <xdr:row>76</xdr:row>
      <xdr:rowOff>152400</xdr:rowOff>
    </xdr:to>
    <xdr:grpSp>
      <xdr:nvGrpSpPr>
        <xdr:cNvPr id="1077" name="Grupo 1076"/>
        <xdr:cNvGrpSpPr/>
      </xdr:nvGrpSpPr>
      <xdr:grpSpPr>
        <a:xfrm>
          <a:off x="23287058" y="5897000"/>
          <a:ext cx="11338559" cy="7361800"/>
          <a:chOff x="22664455" y="6013114"/>
          <a:chExt cx="10975098" cy="8440393"/>
        </a:xfrm>
      </xdr:grpSpPr>
      <xdr:grpSp>
        <xdr:nvGrpSpPr>
          <xdr:cNvPr id="241" name="Grupo 240">
            <a:extLst>
              <a:ext uri="{FF2B5EF4-FFF2-40B4-BE49-F238E27FC236}">
                <a16:creationId xmlns:a16="http://schemas.microsoft.com/office/drawing/2014/main" id="{00000000-0008-0000-0A00-00003F020000}"/>
              </a:ext>
            </a:extLst>
          </xdr:cNvPr>
          <xdr:cNvGrpSpPr/>
        </xdr:nvGrpSpPr>
        <xdr:grpSpPr>
          <a:xfrm>
            <a:off x="22664455" y="6013114"/>
            <a:ext cx="10924942" cy="827922"/>
            <a:chOff x="11896943" y="10589079"/>
            <a:chExt cx="10912926" cy="842845"/>
          </a:xfrm>
        </xdr:grpSpPr>
        <xdr:sp macro="" textlink="">
          <xdr:nvSpPr>
            <xdr:cNvPr id="471" name="Rectángulo 470">
              <a:extLst>
                <a:ext uri="{FF2B5EF4-FFF2-40B4-BE49-F238E27FC236}">
                  <a16:creationId xmlns:a16="http://schemas.microsoft.com/office/drawing/2014/main" id="{00000000-0008-0000-0A00-000028010000}"/>
                </a:ext>
              </a:extLst>
            </xdr:cNvPr>
            <xdr:cNvSpPr/>
          </xdr:nvSpPr>
          <xdr:spPr>
            <a:xfrm>
              <a:off x="11896943" y="10589079"/>
              <a:ext cx="996103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tx1"/>
                  </a:solidFill>
                  <a:latin typeface="Century Gothic" panose="020B0502020202020204" pitchFamily="34" charset="0"/>
                </a:rPr>
                <a:t>PROPORCIÓN DE OPORTUNIDADES DE MEJORA CERRADAS DE LAS AUDITORÍAS CON ENFOQUE EN RIESGOS, ESE METROSALUD, 2019 - 2023</a:t>
              </a:r>
            </a:p>
          </xdr:txBody>
        </xdr:sp>
        <xdr:grpSp>
          <xdr:nvGrpSpPr>
            <xdr:cNvPr id="472" name="Grupo 471">
              <a:extLst>
                <a:ext uri="{FF2B5EF4-FFF2-40B4-BE49-F238E27FC236}">
                  <a16:creationId xmlns:a16="http://schemas.microsoft.com/office/drawing/2014/main" id="{00000000-0008-0000-0A00-00003E020000}"/>
                </a:ext>
              </a:extLst>
            </xdr:cNvPr>
            <xdr:cNvGrpSpPr/>
          </xdr:nvGrpSpPr>
          <xdr:grpSpPr>
            <a:xfrm>
              <a:off x="21896706" y="10589079"/>
              <a:ext cx="913163" cy="842845"/>
              <a:chOff x="21896706" y="10589079"/>
              <a:chExt cx="913163" cy="842845"/>
            </a:xfrm>
          </xdr:grpSpPr>
          <xdr:sp macro="" textlink="$Z$32">
            <xdr:nvSpPr>
              <xdr:cNvPr id="473" name="Rectángulo 472">
                <a:extLst>
                  <a:ext uri="{FF2B5EF4-FFF2-40B4-BE49-F238E27FC236}">
                    <a16:creationId xmlns:a16="http://schemas.microsoft.com/office/drawing/2014/main" id="{00000000-0008-0000-0A00-000027010000}"/>
                  </a:ext>
                </a:extLst>
              </xdr:cNvPr>
              <xdr:cNvSpPr/>
            </xdr:nvSpPr>
            <xdr:spPr>
              <a:xfrm>
                <a:off x="21896706" y="10589079"/>
                <a:ext cx="913163" cy="842845"/>
              </a:xfrm>
              <a:prstGeom prst="rect">
                <a:avLst/>
              </a:prstGeom>
              <a:solidFill>
                <a:srgbClr val="92D050"/>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BBDB602-5289-402C-ADEE-C9F1A500DA2A}" type="TxLink">
                  <a:rPr lang="en-US" sz="2000" b="1" i="0" u="none" strike="noStrike">
                    <a:solidFill>
                      <a:srgbClr val="FF0000"/>
                    </a:solidFill>
                    <a:latin typeface="Century Gothic"/>
                  </a:rPr>
                  <a:pPr algn="ctr"/>
                  <a:t>10,1%</a:t>
                </a:fld>
                <a:endParaRPr lang="es-CO" sz="8000">
                  <a:solidFill>
                    <a:srgbClr val="FF0000"/>
                  </a:solidFill>
                </a:endParaRPr>
              </a:p>
            </xdr:txBody>
          </xdr:sp>
          <xdr:grpSp>
            <xdr:nvGrpSpPr>
              <xdr:cNvPr id="474" name="Grupo 473">
                <a:extLst>
                  <a:ext uri="{FF2B5EF4-FFF2-40B4-BE49-F238E27FC236}">
                    <a16:creationId xmlns:a16="http://schemas.microsoft.com/office/drawing/2014/main" id="{00000000-0008-0000-0A00-00003D020000}"/>
                  </a:ext>
                </a:extLst>
              </xdr:cNvPr>
              <xdr:cNvGrpSpPr/>
            </xdr:nvGrpSpPr>
            <xdr:grpSpPr>
              <a:xfrm>
                <a:off x="21897657" y="11129221"/>
                <a:ext cx="898782" cy="285386"/>
                <a:chOff x="21897657" y="11129221"/>
                <a:chExt cx="898782" cy="285386"/>
              </a:xfrm>
            </xdr:grpSpPr>
            <xdr:sp macro="" textlink="$Y$32">
              <xdr:nvSpPr>
                <xdr:cNvPr id="475" name="Rectángulo 474">
                  <a:extLst>
                    <a:ext uri="{FF2B5EF4-FFF2-40B4-BE49-F238E27FC236}">
                      <a16:creationId xmlns:a16="http://schemas.microsoft.com/office/drawing/2014/main" id="{00000000-0008-0000-0A00-00002D010000}"/>
                    </a:ext>
                  </a:extLst>
                </xdr:cNvPr>
                <xdr:cNvSpPr/>
              </xdr:nvSpPr>
              <xdr:spPr>
                <a:xfrm>
                  <a:off x="21929942"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C73493F-3060-41AA-89CB-5219DB8E2E44}" type="TxLink">
                    <a:rPr lang="en-US" sz="1100" b="1" i="0" u="none" strike="noStrike">
                      <a:solidFill>
                        <a:srgbClr val="FF0000"/>
                      </a:solidFill>
                      <a:latin typeface="Century Gothic"/>
                    </a:rPr>
                    <a:pPr algn="ctr"/>
                    <a:t>41</a:t>
                  </a:fld>
                  <a:endParaRPr lang="es-CO" sz="1100">
                    <a:solidFill>
                      <a:srgbClr val="FF0000"/>
                    </a:solidFill>
                  </a:endParaRPr>
                </a:p>
              </xdr:txBody>
            </xdr:sp>
            <xdr:sp macro="" textlink="">
              <xdr:nvSpPr>
                <xdr:cNvPr id="476" name="CuadroTexto 475">
                  <a:extLst>
                    <a:ext uri="{FF2B5EF4-FFF2-40B4-BE49-F238E27FC236}">
                      <a16:creationId xmlns:a16="http://schemas.microsoft.com/office/drawing/2014/main" id="{00000000-0008-0000-0A00-00002E010000}"/>
                    </a:ext>
                  </a:extLst>
                </xdr:cNvPr>
                <xdr:cNvSpPr txBox="1"/>
              </xdr:nvSpPr>
              <xdr:spPr>
                <a:xfrm>
                  <a:off x="21897657" y="11129221"/>
                  <a:ext cx="898782" cy="269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i="0">
                      <a:solidFill>
                        <a:srgbClr val="FF0000"/>
                      </a:solidFill>
                      <a:latin typeface="Century Gothic" panose="020B0502020202020204" pitchFamily="34" charset="0"/>
                    </a:rPr>
                    <a:t>(       /  </a:t>
                  </a:r>
                  <a:r>
                    <a:rPr lang="es-CO" sz="1100" i="0" baseline="0">
                      <a:solidFill>
                        <a:srgbClr val="FF0000"/>
                      </a:solidFill>
                      <a:latin typeface="Century Gothic" panose="020B0502020202020204" pitchFamily="34" charset="0"/>
                    </a:rPr>
                    <a:t>      </a:t>
                  </a:r>
                  <a:r>
                    <a:rPr lang="es-CO" sz="1100" i="0">
                      <a:solidFill>
                        <a:srgbClr val="FF0000"/>
                      </a:solidFill>
                      <a:latin typeface="Century Gothic" panose="020B0502020202020204" pitchFamily="34" charset="0"/>
                    </a:rPr>
                    <a:t>)</a:t>
                  </a:r>
                </a:p>
              </xdr:txBody>
            </xdr:sp>
            <xdr:sp macro="" textlink="$M$32">
              <xdr:nvSpPr>
                <xdr:cNvPr id="477" name="Rectángulo 476">
                  <a:extLst>
                    <a:ext uri="{FF2B5EF4-FFF2-40B4-BE49-F238E27FC236}">
                      <a16:creationId xmlns:a16="http://schemas.microsoft.com/office/drawing/2014/main" id="{00000000-0008-0000-0A00-00002F010000}"/>
                    </a:ext>
                  </a:extLst>
                </xdr:cNvPr>
                <xdr:cNvSpPr/>
              </xdr:nvSpPr>
              <xdr:spPr>
                <a:xfrm>
                  <a:off x="22258787" y="11137585"/>
                  <a:ext cx="431415" cy="2770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3C3F159-7729-4C43-94CB-D1039B7E5B96}" type="TxLink">
                    <a:rPr lang="en-US" sz="1100" b="1" i="0" u="none" strike="noStrike">
                      <a:solidFill>
                        <a:srgbClr val="FF0000"/>
                      </a:solidFill>
                      <a:latin typeface="Century Gothic"/>
                    </a:rPr>
                    <a:pPr algn="ctr"/>
                    <a:t>405</a:t>
                  </a:fld>
                  <a:endParaRPr lang="es-CO" sz="1100">
                    <a:solidFill>
                      <a:srgbClr val="FF0000"/>
                    </a:solidFill>
                  </a:endParaRPr>
                </a:p>
              </xdr:txBody>
            </xdr:sp>
          </xdr:grpSp>
        </xdr:grpSp>
      </xdr:grpSp>
      <xdr:grpSp>
        <xdr:nvGrpSpPr>
          <xdr:cNvPr id="956" name="Grupo 955"/>
          <xdr:cNvGrpSpPr/>
        </xdr:nvGrpSpPr>
        <xdr:grpSpPr>
          <a:xfrm>
            <a:off x="22672195" y="6955972"/>
            <a:ext cx="10967358" cy="7497535"/>
            <a:chOff x="231321" y="10395861"/>
            <a:chExt cx="10967358" cy="7497535"/>
          </a:xfrm>
        </xdr:grpSpPr>
        <xdr:sp macro="" textlink="">
          <xdr:nvSpPr>
            <xdr:cNvPr id="957" name="Rectángulo redondeado 956">
              <a:extLst>
                <a:ext uri="{FF2B5EF4-FFF2-40B4-BE49-F238E27FC236}">
                  <a16:creationId xmlns:a16="http://schemas.microsoft.com/office/drawing/2014/main" id="{00000000-0008-0000-0A00-0000B0000000}"/>
                </a:ext>
              </a:extLst>
            </xdr:cNvPr>
            <xdr:cNvSpPr/>
          </xdr:nvSpPr>
          <xdr:spPr>
            <a:xfrm>
              <a:off x="231321" y="10395861"/>
              <a:ext cx="10967358" cy="7497535"/>
            </a:xfrm>
            <a:prstGeom prst="roundRect">
              <a:avLst>
                <a:gd name="adj" fmla="val 3813"/>
              </a:avLst>
            </a:prstGeom>
            <a:no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958" name="Grupo 957"/>
            <xdr:cNvGrpSpPr/>
          </xdr:nvGrpSpPr>
          <xdr:grpSpPr>
            <a:xfrm>
              <a:off x="581921" y="10491105"/>
              <a:ext cx="10172289" cy="7102932"/>
              <a:chOff x="364207" y="18383247"/>
              <a:chExt cx="10172289" cy="7102932"/>
            </a:xfrm>
          </xdr:grpSpPr>
          <xdr:grpSp>
            <xdr:nvGrpSpPr>
              <xdr:cNvPr id="959" name="Grupo 958"/>
              <xdr:cNvGrpSpPr/>
            </xdr:nvGrpSpPr>
            <xdr:grpSpPr>
              <a:xfrm>
                <a:off x="1142999" y="18383250"/>
                <a:ext cx="8597623" cy="7102929"/>
                <a:chOff x="2716415" y="395589"/>
                <a:chExt cx="6808905" cy="6039795"/>
              </a:xfrm>
            </xdr:grpSpPr>
            <xdr:sp macro="" textlink="">
              <xdr:nvSpPr>
                <xdr:cNvPr id="1052" name="Rectángulo redondeado 1051"/>
                <xdr:cNvSpPr/>
              </xdr:nvSpPr>
              <xdr:spPr>
                <a:xfrm>
                  <a:off x="5240215" y="395589"/>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600" b="1">
                      <a:solidFill>
                        <a:srgbClr val="045F2C"/>
                      </a:solidFill>
                      <a:latin typeface="Century Gothic" panose="020B0502020202020204" pitchFamily="34" charset="0"/>
                    </a:rPr>
                    <a:t>Gerencia</a:t>
                  </a:r>
                  <a:endParaRPr lang="es-CO" sz="1600" b="1">
                    <a:solidFill>
                      <a:srgbClr val="045F2C"/>
                    </a:solidFill>
                    <a:latin typeface="Century Gothic" panose="020B0502020202020204" pitchFamily="34" charset="0"/>
                  </a:endParaRPr>
                </a:p>
              </xdr:txBody>
            </xdr:sp>
            <xdr:cxnSp macro="">
              <xdr:nvCxnSpPr>
                <xdr:cNvPr id="1053" name="Conector recto 1052"/>
                <xdr:cNvCxnSpPr>
                  <a:endCxn id="1052" idx="2"/>
                </xdr:cNvCxnSpPr>
              </xdr:nvCxnSpPr>
              <xdr:spPr>
                <a:xfrm flipV="1">
                  <a:off x="6150218" y="1072597"/>
                  <a:ext cx="1" cy="3061168"/>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sp macro="" textlink="">
              <xdr:nvSpPr>
                <xdr:cNvPr id="1054" name="Rectángulo redondeado 1053"/>
                <xdr:cNvSpPr/>
              </xdr:nvSpPr>
              <xdr:spPr>
                <a:xfrm>
                  <a:off x="2716415" y="1700480"/>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Asesora de Planeación y Desarrollo Organizacional</a:t>
                  </a:r>
                  <a:endParaRPr lang="es-CO" sz="1400" b="1">
                    <a:solidFill>
                      <a:srgbClr val="045F2C"/>
                    </a:solidFill>
                    <a:latin typeface="Century Gothic" panose="020B0502020202020204" pitchFamily="34" charset="0"/>
                  </a:endParaRPr>
                </a:p>
              </xdr:txBody>
            </xdr:sp>
            <xdr:sp macro="" textlink="">
              <xdr:nvSpPr>
                <xdr:cNvPr id="1055" name="Rectángulo redondeado 1054"/>
                <xdr:cNvSpPr/>
              </xdr:nvSpPr>
              <xdr:spPr>
                <a:xfrm>
                  <a:off x="2716415" y="2449208"/>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Jurídica</a:t>
                  </a:r>
                  <a:endParaRPr lang="es-CO" sz="1400" b="1">
                    <a:solidFill>
                      <a:srgbClr val="045F2C"/>
                    </a:solidFill>
                    <a:latin typeface="Century Gothic" panose="020B0502020202020204" pitchFamily="34" charset="0"/>
                  </a:endParaRPr>
                </a:p>
              </xdr:txBody>
            </xdr:sp>
            <xdr:sp macro="" textlink="">
              <xdr:nvSpPr>
                <xdr:cNvPr id="1056" name="Rectángulo redondeado 1055"/>
                <xdr:cNvSpPr/>
              </xdr:nvSpPr>
              <xdr:spPr>
                <a:xfrm>
                  <a:off x="7545326" y="1337912"/>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de Salud Pública y Gestión Territorial</a:t>
                  </a:r>
                  <a:endParaRPr lang="es-CO" sz="1400" b="1">
                    <a:solidFill>
                      <a:srgbClr val="045F2C"/>
                    </a:solidFill>
                    <a:latin typeface="Century Gothic" panose="020B0502020202020204" pitchFamily="34" charset="0"/>
                  </a:endParaRPr>
                </a:p>
              </xdr:txBody>
            </xdr:sp>
            <xdr:sp macro="" textlink="">
              <xdr:nvSpPr>
                <xdr:cNvPr id="1057" name="Rectángulo redondeado 1056"/>
                <xdr:cNvSpPr/>
              </xdr:nvSpPr>
              <xdr:spPr>
                <a:xfrm>
                  <a:off x="7545326" y="2068911"/>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de Control Interno y Evaluación</a:t>
                  </a:r>
                  <a:endParaRPr lang="es-CO" sz="1400" b="1">
                    <a:solidFill>
                      <a:srgbClr val="045F2C"/>
                    </a:solidFill>
                    <a:latin typeface="Century Gothic" panose="020B0502020202020204" pitchFamily="34" charset="0"/>
                  </a:endParaRPr>
                </a:p>
              </xdr:txBody>
            </xdr:sp>
            <xdr:sp macro="" textlink="">
              <xdr:nvSpPr>
                <xdr:cNvPr id="1058" name="Rectángulo redondeado 1057"/>
                <xdr:cNvSpPr/>
              </xdr:nvSpPr>
              <xdr:spPr>
                <a:xfrm>
                  <a:off x="7545326" y="2799909"/>
                  <a:ext cx="1820007"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Oficina de Control Interno Disciplinario</a:t>
                  </a:r>
                  <a:endParaRPr lang="es-CO" sz="1400" b="1">
                    <a:solidFill>
                      <a:srgbClr val="045F2C"/>
                    </a:solidFill>
                    <a:latin typeface="Century Gothic" panose="020B0502020202020204" pitchFamily="34" charset="0"/>
                  </a:endParaRPr>
                </a:p>
              </xdr:txBody>
            </xdr:sp>
            <xdr:sp macro="" textlink="">
              <xdr:nvSpPr>
                <xdr:cNvPr id="1059" name="Rectángulo redondeado 1058"/>
                <xdr:cNvSpPr/>
              </xdr:nvSpPr>
              <xdr:spPr>
                <a:xfrm>
                  <a:off x="3509029" y="3795875"/>
                  <a:ext cx="1440000"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Subgerencia Red de Servicios</a:t>
                  </a:r>
                  <a:endParaRPr lang="es-CO" sz="1400" b="1">
                    <a:solidFill>
                      <a:srgbClr val="045F2C"/>
                    </a:solidFill>
                    <a:latin typeface="Century Gothic" panose="020B0502020202020204" pitchFamily="34" charset="0"/>
                  </a:endParaRPr>
                </a:p>
              </xdr:txBody>
            </xdr:sp>
            <xdr:sp macro="" textlink="">
              <xdr:nvSpPr>
                <xdr:cNvPr id="1060" name="Rectángulo redondeado 1059"/>
                <xdr:cNvSpPr/>
              </xdr:nvSpPr>
              <xdr:spPr>
                <a:xfrm>
                  <a:off x="7327701" y="3795875"/>
                  <a:ext cx="1440000" cy="677008"/>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Subgerencia  Financiera y Administrativa</a:t>
                  </a:r>
                  <a:endParaRPr lang="es-CO" sz="1400" b="1">
                    <a:solidFill>
                      <a:srgbClr val="045F2C"/>
                    </a:solidFill>
                    <a:latin typeface="Century Gothic" panose="020B0502020202020204" pitchFamily="34" charset="0"/>
                  </a:endParaRPr>
                </a:p>
              </xdr:txBody>
            </xdr:sp>
            <xdr:sp macro="" textlink="">
              <xdr:nvSpPr>
                <xdr:cNvPr id="1061" name="Rectángulo redondeado 1060"/>
                <xdr:cNvSpPr/>
              </xdr:nvSpPr>
              <xdr:spPr>
                <a:xfrm>
                  <a:off x="2885721" y="4912325"/>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 de Venta de Servicios</a:t>
                  </a:r>
                  <a:endParaRPr lang="es-CO" sz="1400" b="1">
                    <a:solidFill>
                      <a:srgbClr val="045F2C"/>
                    </a:solidFill>
                    <a:latin typeface="Century Gothic" panose="020B0502020202020204" pitchFamily="34" charset="0"/>
                  </a:endParaRPr>
                </a:p>
              </xdr:txBody>
            </xdr:sp>
            <xdr:sp macro="" textlink="">
              <xdr:nvSpPr>
                <xdr:cNvPr id="1062" name="Rectángulo redondeado 1061"/>
                <xdr:cNvSpPr/>
              </xdr:nvSpPr>
              <xdr:spPr>
                <a:xfrm>
                  <a:off x="4315938" y="4912325"/>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a:t>
                  </a:r>
                </a:p>
                <a:p>
                  <a:pPr algn="ctr"/>
                  <a:r>
                    <a:rPr lang="es-MX" sz="1400" b="1">
                      <a:solidFill>
                        <a:srgbClr val="045F2C"/>
                      </a:solidFill>
                      <a:latin typeface="Century Gothic" panose="020B0502020202020204" pitchFamily="34" charset="0"/>
                    </a:rPr>
                    <a:t>De UPSS</a:t>
                  </a:r>
                  <a:endParaRPr lang="es-CO" sz="1400" b="1">
                    <a:solidFill>
                      <a:srgbClr val="045F2C"/>
                    </a:solidFill>
                    <a:latin typeface="Century Gothic" panose="020B0502020202020204" pitchFamily="34" charset="0"/>
                  </a:endParaRPr>
                </a:p>
              </xdr:txBody>
            </xdr:sp>
            <xdr:sp macro="" textlink="">
              <xdr:nvSpPr>
                <xdr:cNvPr id="1063" name="Rectángulo redondeado 1062"/>
                <xdr:cNvSpPr/>
              </xdr:nvSpPr>
              <xdr:spPr>
                <a:xfrm>
                  <a:off x="6568406" y="4912326"/>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 de</a:t>
                  </a:r>
                </a:p>
                <a:p>
                  <a:pPr algn="ctr"/>
                  <a:r>
                    <a:rPr lang="es-MX" sz="1400" b="1">
                      <a:solidFill>
                        <a:srgbClr val="045F2C"/>
                      </a:solidFill>
                      <a:latin typeface="Century Gothic" panose="020B0502020202020204" pitchFamily="34" charset="0"/>
                    </a:rPr>
                    <a:t>Sistemas de Información</a:t>
                  </a:r>
                  <a:endParaRPr lang="es-CO" sz="1400" b="1">
                    <a:solidFill>
                      <a:srgbClr val="045F2C"/>
                    </a:solidFill>
                    <a:latin typeface="Century Gothic" panose="020B0502020202020204" pitchFamily="34" charset="0"/>
                  </a:endParaRPr>
                </a:p>
              </xdr:txBody>
            </xdr:sp>
            <xdr:sp macro="" textlink="">
              <xdr:nvSpPr>
                <xdr:cNvPr id="1064" name="Rectángulo redondeado 1063"/>
                <xdr:cNvSpPr/>
              </xdr:nvSpPr>
              <xdr:spPr>
                <a:xfrm>
                  <a:off x="8265320" y="4912326"/>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325545"/>
                      </a:solidFill>
                      <a:latin typeface="Century Gothic" panose="020B0502020202020204" pitchFamily="34" charset="0"/>
                    </a:rPr>
                    <a:t>Dirección Administrativa</a:t>
                  </a:r>
                  <a:endParaRPr lang="es-CO" sz="1400" b="1">
                    <a:solidFill>
                      <a:srgbClr val="325545"/>
                    </a:solidFill>
                    <a:latin typeface="Century Gothic" panose="020B0502020202020204" pitchFamily="34" charset="0"/>
                  </a:endParaRPr>
                </a:p>
              </xdr:txBody>
            </xdr:sp>
            <xdr:sp macro="" textlink="">
              <xdr:nvSpPr>
                <xdr:cNvPr id="1065" name="Rectángulo redondeado 1064"/>
                <xdr:cNvSpPr/>
              </xdr:nvSpPr>
              <xdr:spPr>
                <a:xfrm>
                  <a:off x="6568406" y="5715384"/>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045F2C"/>
                      </a:solidFill>
                      <a:latin typeface="Century Gothic" panose="020B0502020202020204" pitchFamily="34" charset="0"/>
                    </a:rPr>
                    <a:t>Dirección</a:t>
                  </a:r>
                </a:p>
                <a:p>
                  <a:pPr algn="ctr"/>
                  <a:r>
                    <a:rPr lang="es-MX" sz="1400" b="1">
                      <a:solidFill>
                        <a:srgbClr val="045F2C"/>
                      </a:solidFill>
                      <a:latin typeface="Century Gothic" panose="020B0502020202020204" pitchFamily="34" charset="0"/>
                    </a:rPr>
                    <a:t>de Talento Humano</a:t>
                  </a:r>
                  <a:endParaRPr lang="es-CO" sz="1400" b="1">
                    <a:solidFill>
                      <a:srgbClr val="045F2C"/>
                    </a:solidFill>
                    <a:latin typeface="Century Gothic" panose="020B0502020202020204" pitchFamily="34" charset="0"/>
                  </a:endParaRPr>
                </a:p>
              </xdr:txBody>
            </xdr:sp>
            <xdr:sp macro="" textlink="">
              <xdr:nvSpPr>
                <xdr:cNvPr id="1066" name="Rectángulo redondeado 1065"/>
                <xdr:cNvSpPr/>
              </xdr:nvSpPr>
              <xdr:spPr>
                <a:xfrm>
                  <a:off x="8265320" y="5715384"/>
                  <a:ext cx="1260000" cy="720000"/>
                </a:xfrm>
                <a:prstGeom prst="roundRect">
                  <a:avLst/>
                </a:prstGeom>
                <a:noFill/>
                <a:ln w="28575">
                  <a:solidFill>
                    <a:srgbClr val="A4B84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MX" sz="1400" b="1">
                      <a:solidFill>
                        <a:srgbClr val="325545"/>
                      </a:solidFill>
                      <a:latin typeface="Century Gothic" panose="020B0502020202020204" pitchFamily="34" charset="0"/>
                    </a:rPr>
                    <a:t>Dirección de Contratación</a:t>
                  </a:r>
                  <a:endParaRPr lang="es-CO" sz="1400" b="1">
                    <a:solidFill>
                      <a:srgbClr val="325545"/>
                    </a:solidFill>
                    <a:latin typeface="Century Gothic" panose="020B0502020202020204" pitchFamily="34" charset="0"/>
                  </a:endParaRPr>
                </a:p>
              </xdr:txBody>
            </xdr:sp>
            <xdr:cxnSp macro="">
              <xdr:nvCxnSpPr>
                <xdr:cNvPr id="1067" name="Conector recto 1066"/>
                <xdr:cNvCxnSpPr>
                  <a:stCxn id="1059" idx="3"/>
                  <a:endCxn id="1060" idx="1"/>
                </xdr:cNvCxnSpPr>
              </xdr:nvCxnSpPr>
              <xdr:spPr>
                <a:xfrm>
                  <a:off x="4949029" y="4134379"/>
                  <a:ext cx="2378671" cy="0"/>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1068" name="Conector recto 1067"/>
                <xdr:cNvCxnSpPr>
                  <a:endCxn id="1059" idx="2"/>
                </xdr:cNvCxnSpPr>
              </xdr:nvCxnSpPr>
              <xdr:spPr>
                <a:xfrm flipV="1">
                  <a:off x="4229029" y="4472883"/>
                  <a:ext cx="0" cy="218068"/>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1069" name="Conector angular 1068"/>
                <xdr:cNvCxnSpPr>
                  <a:stCxn id="1054" idx="3"/>
                  <a:endCxn id="1055" idx="3"/>
                </xdr:cNvCxnSpPr>
              </xdr:nvCxnSpPr>
              <xdr:spPr>
                <a:xfrm>
                  <a:off x="4536422" y="2038984"/>
                  <a:ext cx="12700" cy="748728"/>
                </a:xfrm>
                <a:prstGeom prst="bentConnector3">
                  <a:avLst>
                    <a:gd name="adj1" fmla="val 1800000"/>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1070" name="Conector angular 1069"/>
                <xdr:cNvCxnSpPr>
                  <a:stCxn id="1056" idx="1"/>
                  <a:endCxn id="1058" idx="1"/>
                </xdr:cNvCxnSpPr>
              </xdr:nvCxnSpPr>
              <xdr:spPr>
                <a:xfrm rot="10800000" flipV="1">
                  <a:off x="7545326" y="1676415"/>
                  <a:ext cx="12700" cy="1461997"/>
                </a:xfrm>
                <a:prstGeom prst="bentConnector3">
                  <a:avLst>
                    <a:gd name="adj1" fmla="val 1800000"/>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1071" name="Conector recto 1070"/>
                <xdr:cNvCxnSpPr>
                  <a:endCxn id="1057" idx="1"/>
                </xdr:cNvCxnSpPr>
              </xdr:nvCxnSpPr>
              <xdr:spPr>
                <a:xfrm>
                  <a:off x="4774671" y="2385713"/>
                  <a:ext cx="2770655" cy="21702"/>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1072" name="Conector angular 1071"/>
                <xdr:cNvCxnSpPr>
                  <a:stCxn id="1061" idx="0"/>
                  <a:endCxn id="1062" idx="0"/>
                </xdr:cNvCxnSpPr>
              </xdr:nvCxnSpPr>
              <xdr:spPr>
                <a:xfrm rot="5400000" flipH="1" flipV="1">
                  <a:off x="4230459" y="4197217"/>
                  <a:ext cx="10799" cy="1430217"/>
                </a:xfrm>
                <a:prstGeom prst="bentConnector3">
                  <a:avLst>
                    <a:gd name="adj1" fmla="val 1800000"/>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1073" name="Conector recto 1072"/>
                <xdr:cNvCxnSpPr>
                  <a:stCxn id="1063" idx="3"/>
                  <a:endCxn id="1064" idx="1"/>
                </xdr:cNvCxnSpPr>
              </xdr:nvCxnSpPr>
              <xdr:spPr>
                <a:xfrm>
                  <a:off x="7828408" y="5272326"/>
                  <a:ext cx="436916" cy="0"/>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1074" name="Conector recto 1073"/>
                <xdr:cNvCxnSpPr>
                  <a:stCxn id="1065" idx="3"/>
                  <a:endCxn id="1066" idx="1"/>
                </xdr:cNvCxnSpPr>
              </xdr:nvCxnSpPr>
              <xdr:spPr>
                <a:xfrm>
                  <a:off x="7828406" y="6075384"/>
                  <a:ext cx="436914" cy="0"/>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cxnSp macro="">
              <xdr:nvCxnSpPr>
                <xdr:cNvPr id="1075" name="Conector recto 1074"/>
                <xdr:cNvCxnSpPr>
                  <a:endCxn id="1060" idx="2"/>
                </xdr:cNvCxnSpPr>
              </xdr:nvCxnSpPr>
              <xdr:spPr>
                <a:xfrm flipV="1">
                  <a:off x="8047700" y="4472883"/>
                  <a:ext cx="0" cy="1598886"/>
                </a:xfrm>
                <a:prstGeom prst="line">
                  <a:avLst/>
                </a:prstGeom>
                <a:ln w="19050">
                  <a:solidFill>
                    <a:srgbClr val="004E21"/>
                  </a:solidFill>
                </a:ln>
              </xdr:spPr>
              <xdr:style>
                <a:lnRef idx="1">
                  <a:schemeClr val="accent1"/>
                </a:lnRef>
                <a:fillRef idx="0">
                  <a:schemeClr val="accent1"/>
                </a:fillRef>
                <a:effectRef idx="0">
                  <a:schemeClr val="accent1"/>
                </a:effectRef>
                <a:fontRef idx="minor">
                  <a:schemeClr val="tx1"/>
                </a:fontRef>
              </xdr:style>
            </xdr:cxnSp>
          </xdr:grpSp>
          <xdr:grpSp>
            <xdr:nvGrpSpPr>
              <xdr:cNvPr id="960" name="Grupo 959"/>
              <xdr:cNvGrpSpPr/>
            </xdr:nvGrpSpPr>
            <xdr:grpSpPr>
              <a:xfrm>
                <a:off x="9601547" y="23719970"/>
                <a:ext cx="934949" cy="828000"/>
                <a:chOff x="2947350" y="18385970"/>
                <a:chExt cx="934949" cy="828000"/>
              </a:xfrm>
            </xdr:grpSpPr>
            <xdr:sp macro="" textlink="">
              <xdr:nvSpPr>
                <xdr:cNvPr id="1046" name="Elipse 1045"/>
                <xdr:cNvSpPr/>
              </xdr:nvSpPr>
              <xdr:spPr>
                <a:xfrm>
                  <a:off x="2955471" y="18385970"/>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15">
              <xdr:nvSpPr>
                <xdr:cNvPr id="1047" name="Rectángulo redondeado 1046">
                  <a:extLst>
                    <a:ext uri="{FF2B5EF4-FFF2-40B4-BE49-F238E27FC236}">
                      <a16:creationId xmlns:a16="http://schemas.microsoft.com/office/drawing/2014/main" id="{00000000-0008-0000-0A00-000028000000}"/>
                    </a:ext>
                  </a:extLst>
                </xdr:cNvPr>
                <xdr:cNvSpPr/>
              </xdr:nvSpPr>
              <xdr:spPr>
                <a:xfrm>
                  <a:off x="2947350" y="18463007"/>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FBD7B37-7791-4D70-B877-BA77970FAA58}" type="TxLink">
                    <a:rPr lang="en-US" sz="1600" b="1" i="0" u="none" strike="noStrike">
                      <a:solidFill>
                        <a:srgbClr val="FF0000"/>
                      </a:solidFill>
                      <a:latin typeface="Century Gothic"/>
                    </a:rPr>
                    <a:pPr algn="ctr"/>
                    <a:t>0,0%</a:t>
                  </a:fld>
                  <a:endParaRPr lang="es-CO" sz="4000">
                    <a:solidFill>
                      <a:srgbClr val="FF0000"/>
                    </a:solidFill>
                  </a:endParaRPr>
                </a:p>
              </xdr:txBody>
            </xdr:sp>
            <xdr:grpSp>
              <xdr:nvGrpSpPr>
                <xdr:cNvPr id="1048" name="Grupo 1047">
                  <a:extLst>
                    <a:ext uri="{FF2B5EF4-FFF2-40B4-BE49-F238E27FC236}">
                      <a16:creationId xmlns:a16="http://schemas.microsoft.com/office/drawing/2014/main" id="{00000000-0008-0000-0A00-0000F2010000}"/>
                    </a:ext>
                  </a:extLst>
                </xdr:cNvPr>
                <xdr:cNvGrpSpPr/>
              </xdr:nvGrpSpPr>
              <xdr:grpSpPr>
                <a:xfrm>
                  <a:off x="2966762" y="18799938"/>
                  <a:ext cx="769986" cy="295235"/>
                  <a:chOff x="2520280" y="14312042"/>
                  <a:chExt cx="770852" cy="295235"/>
                </a:xfrm>
              </xdr:grpSpPr>
              <xdr:sp macro="" textlink="$Y$15">
                <xdr:nvSpPr>
                  <xdr:cNvPr id="1049" name="Rectángulo 1048">
                    <a:extLst>
                      <a:ext uri="{FF2B5EF4-FFF2-40B4-BE49-F238E27FC236}">
                        <a16:creationId xmlns:a16="http://schemas.microsoft.com/office/drawing/2014/main" id="{00000000-0008-0000-0A00-000048010000}"/>
                      </a:ext>
                    </a:extLst>
                  </xdr:cNvPr>
                  <xdr:cNvSpPr/>
                </xdr:nvSpPr>
                <xdr:spPr>
                  <a:xfrm>
                    <a:off x="2544545"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4E5BFB1-9C4F-49BE-ACF6-AAAED5029CE8}" type="TxLink">
                      <a:rPr lang="en-US" sz="1100" b="1" i="0" u="none" strike="noStrike">
                        <a:solidFill>
                          <a:srgbClr val="FF0000"/>
                        </a:solidFill>
                        <a:latin typeface="Century Gothic"/>
                      </a:rPr>
                      <a:pPr algn="ctr"/>
                      <a:t>0</a:t>
                    </a:fld>
                    <a:endParaRPr lang="es-CO" sz="3200" b="1">
                      <a:solidFill>
                        <a:srgbClr val="FF0000"/>
                      </a:solidFill>
                    </a:endParaRPr>
                  </a:p>
                </xdr:txBody>
              </xdr:sp>
              <xdr:sp macro="" textlink="$M$15">
                <xdr:nvSpPr>
                  <xdr:cNvPr id="1050" name="Rectángulo 1049">
                    <a:extLst>
                      <a:ext uri="{FF2B5EF4-FFF2-40B4-BE49-F238E27FC236}">
                        <a16:creationId xmlns:a16="http://schemas.microsoft.com/office/drawing/2014/main" id="{00000000-0008-0000-0A00-000049010000}"/>
                      </a:ext>
                    </a:extLst>
                  </xdr:cNvPr>
                  <xdr:cNvSpPr/>
                </xdr:nvSpPr>
                <xdr:spPr>
                  <a:xfrm>
                    <a:off x="2820639" y="143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6A15E4F-5B04-4F8E-A33F-7045C6362DE6}" type="TxLink">
                      <a:rPr lang="en-US" sz="1100" b="1" i="0" u="none" strike="noStrike">
                        <a:solidFill>
                          <a:srgbClr val="FF0000"/>
                        </a:solidFill>
                        <a:latin typeface="Century Gothic"/>
                      </a:rPr>
                      <a:pPr algn="ctr"/>
                      <a:t>46</a:t>
                    </a:fld>
                    <a:endParaRPr lang="es-CO" sz="3200" b="1">
                      <a:solidFill>
                        <a:srgbClr val="FF0000"/>
                      </a:solidFill>
                    </a:endParaRPr>
                  </a:p>
                </xdr:txBody>
              </xdr:sp>
              <xdr:sp macro="" textlink="">
                <xdr:nvSpPr>
                  <xdr:cNvPr id="1051" name="CuadroTexto 1050">
                    <a:extLst>
                      <a:ext uri="{FF2B5EF4-FFF2-40B4-BE49-F238E27FC236}">
                        <a16:creationId xmlns:a16="http://schemas.microsoft.com/office/drawing/2014/main" id="{00000000-0008-0000-0A00-0000F1010000}"/>
                      </a:ext>
                    </a:extLst>
                  </xdr:cNvPr>
                  <xdr:cNvSpPr txBox="1"/>
                </xdr:nvSpPr>
                <xdr:spPr>
                  <a:xfrm>
                    <a:off x="2520280" y="14312042"/>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61" name="Grupo 960"/>
              <xdr:cNvGrpSpPr/>
            </xdr:nvGrpSpPr>
            <xdr:grpSpPr>
              <a:xfrm>
                <a:off x="9560726" y="24652059"/>
                <a:ext cx="934949" cy="828000"/>
                <a:chOff x="8567707" y="17589952"/>
                <a:chExt cx="934949" cy="828000"/>
              </a:xfrm>
            </xdr:grpSpPr>
            <xdr:sp macro="" textlink="">
              <xdr:nvSpPr>
                <xdr:cNvPr id="1040" name="Elipse 1039"/>
                <xdr:cNvSpPr/>
              </xdr:nvSpPr>
              <xdr:spPr>
                <a:xfrm>
                  <a:off x="8629648" y="17589952"/>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16">
              <xdr:nvSpPr>
                <xdr:cNvPr id="1041" name="Rectángulo redondeado 1040">
                  <a:extLst>
                    <a:ext uri="{FF2B5EF4-FFF2-40B4-BE49-F238E27FC236}">
                      <a16:creationId xmlns:a16="http://schemas.microsoft.com/office/drawing/2014/main" id="{00000000-0008-0000-0A00-00002C000000}"/>
                    </a:ext>
                  </a:extLst>
                </xdr:cNvPr>
                <xdr:cNvSpPr/>
              </xdr:nvSpPr>
              <xdr:spPr>
                <a:xfrm>
                  <a:off x="8567707" y="17649301"/>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A533A3F-908C-4DC8-8FE8-EA0479C066BD}" type="TxLink">
                    <a:rPr lang="en-US" sz="1600" b="1" i="0" u="none" strike="noStrike">
                      <a:solidFill>
                        <a:srgbClr val="FF0000"/>
                      </a:solidFill>
                      <a:latin typeface="Century Gothic"/>
                    </a:rPr>
                    <a:pPr algn="ctr"/>
                    <a:t>0,0%</a:t>
                  </a:fld>
                  <a:endParaRPr lang="es-CO" sz="4000">
                    <a:solidFill>
                      <a:srgbClr val="FF0000"/>
                    </a:solidFill>
                  </a:endParaRPr>
                </a:p>
              </xdr:txBody>
            </xdr:sp>
            <xdr:grpSp>
              <xdr:nvGrpSpPr>
                <xdr:cNvPr id="1042" name="Grupo 1041">
                  <a:extLst>
                    <a:ext uri="{FF2B5EF4-FFF2-40B4-BE49-F238E27FC236}">
                      <a16:creationId xmlns:a16="http://schemas.microsoft.com/office/drawing/2014/main" id="{00000000-0008-0000-0A00-0000F5010000}"/>
                    </a:ext>
                  </a:extLst>
                </xdr:cNvPr>
                <xdr:cNvGrpSpPr/>
              </xdr:nvGrpSpPr>
              <xdr:grpSpPr>
                <a:xfrm>
                  <a:off x="8616479" y="18005627"/>
                  <a:ext cx="769986" cy="275843"/>
                  <a:chOff x="4471046" y="14320550"/>
                  <a:chExt cx="770852" cy="275843"/>
                </a:xfrm>
              </xdr:grpSpPr>
              <xdr:sp macro="" textlink="$Y$16">
                <xdr:nvSpPr>
                  <xdr:cNvPr id="1043" name="Rectángulo 1042">
                    <a:extLst>
                      <a:ext uri="{FF2B5EF4-FFF2-40B4-BE49-F238E27FC236}">
                        <a16:creationId xmlns:a16="http://schemas.microsoft.com/office/drawing/2014/main" id="{00000000-0008-0000-0A00-00004A010000}"/>
                      </a:ext>
                    </a:extLst>
                  </xdr:cNvPr>
                  <xdr:cNvSpPr/>
                </xdr:nvSpPr>
                <xdr:spPr>
                  <a:xfrm>
                    <a:off x="4506693"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8CC51ED-147B-4154-8F4E-F7D10918B0C3}" type="TxLink">
                      <a:rPr lang="en-US" sz="1100" b="1" i="0" u="none" strike="noStrike">
                        <a:solidFill>
                          <a:srgbClr val="FF0000"/>
                        </a:solidFill>
                        <a:latin typeface="Century Gothic"/>
                      </a:rPr>
                      <a:pPr algn="ctr"/>
                      <a:t>0</a:t>
                    </a:fld>
                    <a:endParaRPr lang="es-CO" sz="3600" b="1">
                      <a:solidFill>
                        <a:srgbClr val="FF0000"/>
                      </a:solidFill>
                    </a:endParaRPr>
                  </a:p>
                </xdr:txBody>
              </xdr:sp>
              <xdr:sp macro="" textlink="$M$16">
                <xdr:nvSpPr>
                  <xdr:cNvPr id="1044" name="Rectángulo 1043">
                    <a:extLst>
                      <a:ext uri="{FF2B5EF4-FFF2-40B4-BE49-F238E27FC236}">
                        <a16:creationId xmlns:a16="http://schemas.microsoft.com/office/drawing/2014/main" id="{00000000-0008-0000-0A00-00004B010000}"/>
                      </a:ext>
                    </a:extLst>
                  </xdr:cNvPr>
                  <xdr:cNvSpPr/>
                </xdr:nvSpPr>
                <xdr:spPr>
                  <a:xfrm>
                    <a:off x="4782787" y="14324250"/>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CDC01-E789-491F-9859-09BA8AC9C207}" type="TxLink">
                      <a:rPr lang="en-US" sz="1100" b="1" i="0" u="none" strike="noStrike">
                        <a:solidFill>
                          <a:srgbClr val="FF0000"/>
                        </a:solidFill>
                        <a:latin typeface="Century Gothic"/>
                      </a:rPr>
                      <a:pPr algn="ctr"/>
                      <a:t>16</a:t>
                    </a:fld>
                    <a:endParaRPr lang="es-CO" sz="3600" b="1">
                      <a:solidFill>
                        <a:srgbClr val="FF0000"/>
                      </a:solidFill>
                    </a:endParaRPr>
                  </a:p>
                </xdr:txBody>
              </xdr:sp>
              <xdr:sp macro="" textlink="">
                <xdr:nvSpPr>
                  <xdr:cNvPr id="1045" name="CuadroTexto 1044">
                    <a:extLst>
                      <a:ext uri="{FF2B5EF4-FFF2-40B4-BE49-F238E27FC236}">
                        <a16:creationId xmlns:a16="http://schemas.microsoft.com/office/drawing/2014/main" id="{00000000-0008-0000-0A00-0000F4010000}"/>
                      </a:ext>
                    </a:extLst>
                  </xdr:cNvPr>
                  <xdr:cNvSpPr txBox="1"/>
                </xdr:nvSpPr>
                <xdr:spPr>
                  <a:xfrm>
                    <a:off x="4471046" y="14320550"/>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62" name="Grupo 961"/>
              <xdr:cNvGrpSpPr/>
            </xdr:nvGrpSpPr>
            <xdr:grpSpPr>
              <a:xfrm>
                <a:off x="1367338" y="22345650"/>
                <a:ext cx="934949" cy="828000"/>
                <a:chOff x="8715196" y="16889185"/>
                <a:chExt cx="934949" cy="828000"/>
              </a:xfrm>
            </xdr:grpSpPr>
            <xdr:sp macro="" textlink="">
              <xdr:nvSpPr>
                <xdr:cNvPr id="1034" name="Elipse 1033"/>
                <xdr:cNvSpPr/>
              </xdr:nvSpPr>
              <xdr:spPr>
                <a:xfrm>
                  <a:off x="8765720" y="16889185"/>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12">
              <xdr:nvSpPr>
                <xdr:cNvPr id="1035" name="Rectángulo redondeado 1034">
                  <a:extLst>
                    <a:ext uri="{FF2B5EF4-FFF2-40B4-BE49-F238E27FC236}">
                      <a16:creationId xmlns:a16="http://schemas.microsoft.com/office/drawing/2014/main" id="{00000000-0008-0000-0A00-00001C000000}"/>
                    </a:ext>
                  </a:extLst>
                </xdr:cNvPr>
                <xdr:cNvSpPr/>
              </xdr:nvSpPr>
              <xdr:spPr>
                <a:xfrm>
                  <a:off x="8715196" y="16928120"/>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0271F7F-43DC-47E1-B6EE-9A0206F6A56B}" type="TxLink">
                    <a:rPr lang="en-US" sz="1600" b="1" i="0" u="none" strike="noStrike">
                      <a:solidFill>
                        <a:srgbClr val="FF0000"/>
                      </a:solidFill>
                      <a:latin typeface="Century Gothic"/>
                    </a:rPr>
                    <a:pPr algn="ctr"/>
                    <a:t>14,5%</a:t>
                  </a:fld>
                  <a:endParaRPr lang="es-CO" sz="4000" b="1">
                    <a:solidFill>
                      <a:srgbClr val="FF0000"/>
                    </a:solidFill>
                  </a:endParaRPr>
                </a:p>
              </xdr:txBody>
            </xdr:sp>
            <xdr:grpSp>
              <xdr:nvGrpSpPr>
                <xdr:cNvPr id="1036" name="Grupo 1035">
                  <a:extLst>
                    <a:ext uri="{FF2B5EF4-FFF2-40B4-BE49-F238E27FC236}">
                      <a16:creationId xmlns:a16="http://schemas.microsoft.com/office/drawing/2014/main" id="{00000000-0008-0000-0A00-0000E9010000}"/>
                    </a:ext>
                  </a:extLst>
                </xdr:cNvPr>
                <xdr:cNvGrpSpPr/>
              </xdr:nvGrpSpPr>
              <xdr:grpSpPr>
                <a:xfrm>
                  <a:off x="8799901" y="17270844"/>
                  <a:ext cx="769986" cy="292166"/>
                  <a:chOff x="6398346" y="13531340"/>
                  <a:chExt cx="770852" cy="292166"/>
                </a:xfrm>
              </xdr:grpSpPr>
              <xdr:sp macro="" textlink="$Y$12">
                <xdr:nvSpPr>
                  <xdr:cNvPr id="1037" name="Rectángulo 1036">
                    <a:extLst>
                      <a:ext uri="{FF2B5EF4-FFF2-40B4-BE49-F238E27FC236}">
                        <a16:creationId xmlns:a16="http://schemas.microsoft.com/office/drawing/2014/main" id="{00000000-0008-0000-0A00-000042010000}"/>
                      </a:ext>
                    </a:extLst>
                  </xdr:cNvPr>
                  <xdr:cNvSpPr/>
                </xdr:nvSpPr>
                <xdr:spPr>
                  <a:xfrm>
                    <a:off x="6400791"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7C73BF2-A042-46DB-8ED1-0909DE5BC82D}" type="TxLink">
                      <a:rPr lang="en-US" sz="1100" b="1" i="0" u="none" strike="noStrike">
                        <a:solidFill>
                          <a:srgbClr val="FF0000"/>
                        </a:solidFill>
                        <a:latin typeface="Century Gothic"/>
                      </a:rPr>
                      <a:pPr algn="ctr"/>
                      <a:t>17</a:t>
                    </a:fld>
                    <a:endParaRPr lang="es-CO" sz="2000" b="1">
                      <a:solidFill>
                        <a:srgbClr val="FF0000"/>
                      </a:solidFill>
                    </a:endParaRPr>
                  </a:p>
                </xdr:txBody>
              </xdr:sp>
              <xdr:sp macro="" textlink="$M$12">
                <xdr:nvSpPr>
                  <xdr:cNvPr id="1038" name="Rectángulo 1037">
                    <a:extLst>
                      <a:ext uri="{FF2B5EF4-FFF2-40B4-BE49-F238E27FC236}">
                        <a16:creationId xmlns:a16="http://schemas.microsoft.com/office/drawing/2014/main" id="{00000000-0008-0000-0A00-000043010000}"/>
                      </a:ext>
                    </a:extLst>
                  </xdr:cNvPr>
                  <xdr:cNvSpPr/>
                </xdr:nvSpPr>
                <xdr:spPr>
                  <a:xfrm>
                    <a:off x="6676885" y="1355136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63D10A2-A21D-4861-9B91-4B35821F0447}" type="TxLink">
                      <a:rPr lang="en-US" sz="1100" b="1" i="0" u="none" strike="noStrike">
                        <a:solidFill>
                          <a:srgbClr val="FF0000"/>
                        </a:solidFill>
                        <a:latin typeface="Century Gothic"/>
                      </a:rPr>
                      <a:pPr algn="ctr"/>
                      <a:t>117</a:t>
                    </a:fld>
                    <a:endParaRPr lang="es-CO" sz="2000" b="1">
                      <a:solidFill>
                        <a:srgbClr val="FF0000"/>
                      </a:solidFill>
                    </a:endParaRPr>
                  </a:p>
                </xdr:txBody>
              </xdr:sp>
              <xdr:sp macro="" textlink="">
                <xdr:nvSpPr>
                  <xdr:cNvPr id="1039" name="CuadroTexto 1038">
                    <a:extLst>
                      <a:ext uri="{FF2B5EF4-FFF2-40B4-BE49-F238E27FC236}">
                        <a16:creationId xmlns:a16="http://schemas.microsoft.com/office/drawing/2014/main" id="{00000000-0008-0000-0A00-0000E8010000}"/>
                      </a:ext>
                    </a:extLst>
                  </xdr:cNvPr>
                  <xdr:cNvSpPr txBox="1"/>
                </xdr:nvSpPr>
                <xdr:spPr>
                  <a:xfrm>
                    <a:off x="6398346" y="13531340"/>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63" name="Grupo 962"/>
              <xdr:cNvGrpSpPr/>
            </xdr:nvGrpSpPr>
            <xdr:grpSpPr>
              <a:xfrm>
                <a:off x="6460240" y="18383247"/>
                <a:ext cx="934950" cy="828000"/>
                <a:chOff x="7984235" y="18532924"/>
                <a:chExt cx="934950" cy="828000"/>
              </a:xfrm>
            </xdr:grpSpPr>
            <xdr:sp macro="" textlink="">
              <xdr:nvSpPr>
                <xdr:cNvPr id="1028" name="Elipse 1027"/>
                <xdr:cNvSpPr/>
              </xdr:nvSpPr>
              <xdr:spPr>
                <a:xfrm>
                  <a:off x="8028214" y="18532924"/>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6">
              <xdr:nvSpPr>
                <xdr:cNvPr id="1029" name="Rectángulo redondeado 1028">
                  <a:extLst>
                    <a:ext uri="{FF2B5EF4-FFF2-40B4-BE49-F238E27FC236}">
                      <a16:creationId xmlns:a16="http://schemas.microsoft.com/office/drawing/2014/main" id="{00000000-0008-0000-0A00-000059000000}"/>
                    </a:ext>
                  </a:extLst>
                </xdr:cNvPr>
                <xdr:cNvSpPr/>
              </xdr:nvSpPr>
              <xdr:spPr>
                <a:xfrm>
                  <a:off x="7984235" y="18601770"/>
                  <a:ext cx="934950" cy="50232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D3237A5-75D0-40DA-83DB-B6C21D710BA5}" type="TxLink">
                    <a:rPr lang="en-US" sz="1600" b="1" i="0" u="none" strike="noStrike">
                      <a:solidFill>
                        <a:srgbClr val="FF0000"/>
                      </a:solidFill>
                      <a:latin typeface="Century Gothic"/>
                    </a:rPr>
                    <a:pPr algn="ctr"/>
                    <a:t>0,0%</a:t>
                  </a:fld>
                  <a:endParaRPr lang="es-CO" sz="3600">
                    <a:solidFill>
                      <a:srgbClr val="FF0000"/>
                    </a:solidFill>
                  </a:endParaRPr>
                </a:p>
              </xdr:txBody>
            </xdr:sp>
            <xdr:grpSp>
              <xdr:nvGrpSpPr>
                <xdr:cNvPr id="1030" name="Grupo 1029">
                  <a:extLst>
                    <a:ext uri="{FF2B5EF4-FFF2-40B4-BE49-F238E27FC236}">
                      <a16:creationId xmlns:a16="http://schemas.microsoft.com/office/drawing/2014/main" id="{00000000-0008-0000-0A00-00003C000000}"/>
                    </a:ext>
                  </a:extLst>
                </xdr:cNvPr>
                <xdr:cNvGrpSpPr/>
              </xdr:nvGrpSpPr>
              <xdr:grpSpPr>
                <a:xfrm>
                  <a:off x="8060303" y="18953013"/>
                  <a:ext cx="769986" cy="280935"/>
                  <a:chOff x="7919246" y="19826342"/>
                  <a:chExt cx="770852" cy="280935"/>
                </a:xfrm>
              </xdr:grpSpPr>
              <xdr:sp macro="" textlink="$Y$6">
                <xdr:nvSpPr>
                  <xdr:cNvPr id="1031" name="Rectángulo 1030">
                    <a:extLst>
                      <a:ext uri="{FF2B5EF4-FFF2-40B4-BE49-F238E27FC236}">
                        <a16:creationId xmlns:a16="http://schemas.microsoft.com/office/drawing/2014/main" id="{00000000-0008-0000-0A00-000035010000}"/>
                      </a:ext>
                    </a:extLst>
                  </xdr:cNvPr>
                  <xdr:cNvSpPr/>
                </xdr:nvSpPr>
                <xdr:spPr>
                  <a:xfrm>
                    <a:off x="7941257" y="198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32A2386-2FF4-4F2E-9B3C-ECBCB4C2DF22}" type="TxLink">
                      <a:rPr lang="en-US" sz="1100" b="1" i="0" u="none" strike="noStrike">
                        <a:solidFill>
                          <a:srgbClr val="FF0000"/>
                        </a:solidFill>
                        <a:latin typeface="Century Gothic"/>
                      </a:rPr>
                      <a:pPr algn="ctr"/>
                      <a:t>0</a:t>
                    </a:fld>
                    <a:endParaRPr lang="es-CO" sz="1100" b="1">
                      <a:solidFill>
                        <a:srgbClr val="FF0000"/>
                      </a:solidFill>
                    </a:endParaRPr>
                  </a:p>
                </xdr:txBody>
              </xdr:sp>
              <xdr:sp macro="" textlink="$M$6">
                <xdr:nvSpPr>
                  <xdr:cNvPr id="1032" name="Rectángulo 1031">
                    <a:extLst>
                      <a:ext uri="{FF2B5EF4-FFF2-40B4-BE49-F238E27FC236}">
                        <a16:creationId xmlns:a16="http://schemas.microsoft.com/office/drawing/2014/main" id="{00000000-0008-0000-0A00-000037010000}"/>
                      </a:ext>
                    </a:extLst>
                  </xdr:cNvPr>
                  <xdr:cNvSpPr/>
                </xdr:nvSpPr>
                <xdr:spPr>
                  <a:xfrm>
                    <a:off x="8226015" y="1983513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AF1872A-A147-4C76-B4E9-9A601613AD2D}" type="TxLink">
                      <a:rPr lang="en-US" sz="1100" b="1" i="0" u="none" strike="noStrike">
                        <a:solidFill>
                          <a:srgbClr val="FF0000"/>
                        </a:solidFill>
                        <a:latin typeface="Century Gothic"/>
                      </a:rPr>
                      <a:pPr algn="ctr"/>
                      <a:t>5</a:t>
                    </a:fld>
                    <a:endParaRPr lang="es-CO" sz="1100" b="1">
                      <a:solidFill>
                        <a:srgbClr val="FF0000"/>
                      </a:solidFill>
                    </a:endParaRPr>
                  </a:p>
                </xdr:txBody>
              </xdr:sp>
              <xdr:sp macro="" textlink="">
                <xdr:nvSpPr>
                  <xdr:cNvPr id="1033" name="CuadroTexto 1032">
                    <a:extLst>
                      <a:ext uri="{FF2B5EF4-FFF2-40B4-BE49-F238E27FC236}">
                        <a16:creationId xmlns:a16="http://schemas.microsoft.com/office/drawing/2014/main" id="{00000000-0008-0000-0A00-0000DA010000}"/>
                      </a:ext>
                    </a:extLst>
                  </xdr:cNvPr>
                  <xdr:cNvSpPr txBox="1"/>
                </xdr:nvSpPr>
                <xdr:spPr>
                  <a:xfrm>
                    <a:off x="7919246" y="19826342"/>
                    <a:ext cx="770852" cy="264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64" name="Grupo 963"/>
              <xdr:cNvGrpSpPr/>
            </xdr:nvGrpSpPr>
            <xdr:grpSpPr>
              <a:xfrm>
                <a:off x="364207" y="19909970"/>
                <a:ext cx="934949" cy="828000"/>
                <a:chOff x="200923" y="19909970"/>
                <a:chExt cx="934949" cy="828000"/>
              </a:xfrm>
            </xdr:grpSpPr>
            <xdr:sp macro="" textlink="">
              <xdr:nvSpPr>
                <xdr:cNvPr id="1022" name="Elipse 1021"/>
                <xdr:cNvSpPr/>
              </xdr:nvSpPr>
              <xdr:spPr>
                <a:xfrm>
                  <a:off x="247649" y="19909970"/>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7">
              <xdr:nvSpPr>
                <xdr:cNvPr id="1023" name="Rectángulo redondeado 1022">
                  <a:extLst>
                    <a:ext uri="{FF2B5EF4-FFF2-40B4-BE49-F238E27FC236}">
                      <a16:creationId xmlns:a16="http://schemas.microsoft.com/office/drawing/2014/main" id="{00000000-0008-0000-0A00-00006C000000}"/>
                    </a:ext>
                  </a:extLst>
                </xdr:cNvPr>
                <xdr:cNvSpPr/>
              </xdr:nvSpPr>
              <xdr:spPr>
                <a:xfrm>
                  <a:off x="200923" y="19978847"/>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F6EC-339E-48CB-AAE9-0D00BB04D68E}" type="TxLink">
                    <a:rPr lang="en-US" sz="1600" b="1" i="0" u="none" strike="noStrike">
                      <a:solidFill>
                        <a:srgbClr val="FF0000"/>
                      </a:solidFill>
                      <a:latin typeface="Century Gothic"/>
                    </a:rPr>
                    <a:pPr algn="ctr"/>
                    <a:t>36,8%</a:t>
                  </a:fld>
                  <a:endParaRPr lang="es-CO" sz="3600">
                    <a:solidFill>
                      <a:srgbClr val="FF0000"/>
                    </a:solidFill>
                  </a:endParaRPr>
                </a:p>
              </xdr:txBody>
            </xdr:sp>
            <xdr:grpSp>
              <xdr:nvGrpSpPr>
                <xdr:cNvPr id="1024" name="Grupo 1023">
                  <a:extLst>
                    <a:ext uri="{FF2B5EF4-FFF2-40B4-BE49-F238E27FC236}">
                      <a16:creationId xmlns:a16="http://schemas.microsoft.com/office/drawing/2014/main" id="{00000000-0008-0000-0A00-00003E000000}"/>
                    </a:ext>
                  </a:extLst>
                </xdr:cNvPr>
                <xdr:cNvGrpSpPr/>
              </xdr:nvGrpSpPr>
              <xdr:grpSpPr>
                <a:xfrm>
                  <a:off x="274293" y="20291604"/>
                  <a:ext cx="769986" cy="292172"/>
                  <a:chOff x="5409940" y="12061755"/>
                  <a:chExt cx="770852" cy="292172"/>
                </a:xfrm>
              </xdr:grpSpPr>
              <xdr:sp macro="" textlink="$Y$7">
                <xdr:nvSpPr>
                  <xdr:cNvPr id="1025" name="Rectángulo 1024">
                    <a:extLst>
                      <a:ext uri="{FF2B5EF4-FFF2-40B4-BE49-F238E27FC236}">
                        <a16:creationId xmlns:a16="http://schemas.microsoft.com/office/drawing/2014/main" id="{00000000-0008-0000-0A00-000038010000}"/>
                      </a:ext>
                    </a:extLst>
                  </xdr:cNvPr>
                  <xdr:cNvSpPr/>
                </xdr:nvSpPr>
                <xdr:spPr>
                  <a:xfrm>
                    <a:off x="5434691" y="120817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3E3D3F-5C14-4882-A97E-748C45BC6FD4}" type="TxLink">
                      <a:rPr lang="en-US" sz="1100" b="1" i="0" u="none" strike="noStrike">
                        <a:solidFill>
                          <a:srgbClr val="FF0000"/>
                        </a:solidFill>
                        <a:latin typeface="Century Gothic"/>
                      </a:rPr>
                      <a:pPr algn="ctr"/>
                      <a:t>7</a:t>
                    </a:fld>
                    <a:endParaRPr lang="es-CO" sz="1100" b="1">
                      <a:solidFill>
                        <a:srgbClr val="FF0000"/>
                      </a:solidFill>
                    </a:endParaRPr>
                  </a:p>
                </xdr:txBody>
              </xdr:sp>
              <xdr:sp macro="" textlink="$M$7">
                <xdr:nvSpPr>
                  <xdr:cNvPr id="1026" name="Rectángulo 1025">
                    <a:extLst>
                      <a:ext uri="{FF2B5EF4-FFF2-40B4-BE49-F238E27FC236}">
                        <a16:creationId xmlns:a16="http://schemas.microsoft.com/office/drawing/2014/main" id="{00000000-0008-0000-0A00-000039010000}"/>
                      </a:ext>
                    </a:extLst>
                  </xdr:cNvPr>
                  <xdr:cNvSpPr/>
                </xdr:nvSpPr>
                <xdr:spPr>
                  <a:xfrm>
                    <a:off x="5710786" y="1208178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1115437-3055-4F8D-B72F-0AF496600C38}" type="TxLink">
                      <a:rPr lang="en-US" sz="1100" b="1" i="0" u="none" strike="noStrike">
                        <a:solidFill>
                          <a:srgbClr val="FF0000"/>
                        </a:solidFill>
                        <a:latin typeface="Century Gothic"/>
                      </a:rPr>
                      <a:pPr algn="ctr"/>
                      <a:t>19</a:t>
                    </a:fld>
                    <a:endParaRPr lang="es-CO" sz="1100" b="1">
                      <a:solidFill>
                        <a:srgbClr val="FF0000"/>
                      </a:solidFill>
                    </a:endParaRPr>
                  </a:p>
                </xdr:txBody>
              </xdr:sp>
              <xdr:sp macro="" textlink="">
                <xdr:nvSpPr>
                  <xdr:cNvPr id="1027" name="CuadroTexto 1026">
                    <a:extLst>
                      <a:ext uri="{FF2B5EF4-FFF2-40B4-BE49-F238E27FC236}">
                        <a16:creationId xmlns:a16="http://schemas.microsoft.com/office/drawing/2014/main" id="{00000000-0008-0000-0A00-0000DB010000}"/>
                      </a:ext>
                    </a:extLst>
                  </xdr:cNvPr>
                  <xdr:cNvSpPr txBox="1"/>
                </xdr:nvSpPr>
                <xdr:spPr>
                  <a:xfrm>
                    <a:off x="5409940" y="1206175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65" name="Grupo 964"/>
              <xdr:cNvGrpSpPr/>
            </xdr:nvGrpSpPr>
            <xdr:grpSpPr>
              <a:xfrm>
                <a:off x="405058" y="20760419"/>
                <a:ext cx="934949" cy="828000"/>
                <a:chOff x="228167" y="20774026"/>
                <a:chExt cx="934949" cy="828000"/>
              </a:xfrm>
            </xdr:grpSpPr>
            <xdr:sp macro="" textlink="">
              <xdr:nvSpPr>
                <xdr:cNvPr id="1016" name="Elipse 1015"/>
                <xdr:cNvSpPr/>
              </xdr:nvSpPr>
              <xdr:spPr>
                <a:xfrm>
                  <a:off x="247649" y="20774026"/>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8">
              <xdr:nvSpPr>
                <xdr:cNvPr id="1017" name="Rectángulo redondeado 1016">
                  <a:extLst>
                    <a:ext uri="{FF2B5EF4-FFF2-40B4-BE49-F238E27FC236}">
                      <a16:creationId xmlns:a16="http://schemas.microsoft.com/office/drawing/2014/main" id="{00000000-0008-0000-0A00-000070000000}"/>
                    </a:ext>
                  </a:extLst>
                </xdr:cNvPr>
                <xdr:cNvSpPr/>
              </xdr:nvSpPr>
              <xdr:spPr>
                <a:xfrm>
                  <a:off x="228167" y="20838821"/>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DC24C82-FACB-4A15-AC59-0DEE036F226B}" type="TxLink">
                    <a:rPr lang="en-US" sz="1600" b="1" i="0" u="none" strike="noStrike">
                      <a:solidFill>
                        <a:srgbClr val="FF0000"/>
                      </a:solidFill>
                      <a:latin typeface="Century Gothic"/>
                    </a:rPr>
                    <a:pPr algn="ctr"/>
                    <a:t>0,0%</a:t>
                  </a:fld>
                  <a:endParaRPr lang="es-CO" sz="6000" b="1">
                    <a:solidFill>
                      <a:srgbClr val="FF0000"/>
                    </a:solidFill>
                  </a:endParaRPr>
                </a:p>
              </xdr:txBody>
            </xdr:sp>
            <xdr:grpSp>
              <xdr:nvGrpSpPr>
                <xdr:cNvPr id="1018" name="Grupo 1017">
                  <a:extLst>
                    <a:ext uri="{FF2B5EF4-FFF2-40B4-BE49-F238E27FC236}">
                      <a16:creationId xmlns:a16="http://schemas.microsoft.com/office/drawing/2014/main" id="{00000000-0008-0000-0A00-0000DD010000}"/>
                    </a:ext>
                  </a:extLst>
                </xdr:cNvPr>
                <xdr:cNvGrpSpPr/>
              </xdr:nvGrpSpPr>
              <xdr:grpSpPr>
                <a:xfrm>
                  <a:off x="257966" y="21177778"/>
                  <a:ext cx="769986" cy="279582"/>
                  <a:chOff x="7845616" y="12335605"/>
                  <a:chExt cx="770852" cy="279582"/>
                </a:xfrm>
              </xdr:grpSpPr>
              <xdr:sp macro="" textlink="$Y$8">
                <xdr:nvSpPr>
                  <xdr:cNvPr id="1019" name="Rectángulo 1018">
                    <a:extLst>
                      <a:ext uri="{FF2B5EF4-FFF2-40B4-BE49-F238E27FC236}">
                        <a16:creationId xmlns:a16="http://schemas.microsoft.com/office/drawing/2014/main" id="{00000000-0008-0000-0A00-00003A010000}"/>
                      </a:ext>
                    </a:extLst>
                  </xdr:cNvPr>
                  <xdr:cNvSpPr/>
                </xdr:nvSpPr>
                <xdr:spPr>
                  <a:xfrm>
                    <a:off x="7873089"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830CE8E-E5E6-471D-8668-84C9DE3D7ABA}" type="TxLink">
                      <a:rPr lang="en-US" sz="1100" b="1" i="0" u="none" strike="noStrike">
                        <a:solidFill>
                          <a:srgbClr val="FF0000"/>
                        </a:solidFill>
                        <a:latin typeface="Century Gothic"/>
                      </a:rPr>
                      <a:pPr algn="ctr"/>
                      <a:t>0</a:t>
                    </a:fld>
                    <a:endParaRPr lang="es-CO" sz="1200" b="1">
                      <a:solidFill>
                        <a:srgbClr val="FF0000"/>
                      </a:solidFill>
                    </a:endParaRPr>
                  </a:p>
                </xdr:txBody>
              </xdr:sp>
              <xdr:sp macro="" textlink="$M$8">
                <xdr:nvSpPr>
                  <xdr:cNvPr id="1020" name="Rectángulo 1019">
                    <a:extLst>
                      <a:ext uri="{FF2B5EF4-FFF2-40B4-BE49-F238E27FC236}">
                        <a16:creationId xmlns:a16="http://schemas.microsoft.com/office/drawing/2014/main" id="{00000000-0008-0000-0A00-00003B010000}"/>
                      </a:ext>
                    </a:extLst>
                  </xdr:cNvPr>
                  <xdr:cNvSpPr/>
                </xdr:nvSpPr>
                <xdr:spPr>
                  <a:xfrm>
                    <a:off x="8149183" y="1234304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BA16FD3F-54E7-4B44-AEC1-37CD98BC48CB}" type="TxLink">
                      <a:rPr lang="en-US" sz="1100" b="1" i="0" u="none" strike="noStrike">
                        <a:solidFill>
                          <a:srgbClr val="FF0000"/>
                        </a:solidFill>
                        <a:latin typeface="Century Gothic"/>
                      </a:rPr>
                      <a:pPr algn="ctr"/>
                      <a:t>8</a:t>
                    </a:fld>
                    <a:endParaRPr lang="es-CO" sz="1200" b="1">
                      <a:solidFill>
                        <a:srgbClr val="FF0000"/>
                      </a:solidFill>
                    </a:endParaRPr>
                  </a:p>
                </xdr:txBody>
              </xdr:sp>
              <xdr:sp macro="" textlink="">
                <xdr:nvSpPr>
                  <xdr:cNvPr id="1021" name="CuadroTexto 1020">
                    <a:extLst>
                      <a:ext uri="{FF2B5EF4-FFF2-40B4-BE49-F238E27FC236}">
                        <a16:creationId xmlns:a16="http://schemas.microsoft.com/office/drawing/2014/main" id="{00000000-0008-0000-0A00-0000DC010000}"/>
                      </a:ext>
                    </a:extLst>
                  </xdr:cNvPr>
                  <xdr:cNvSpPr txBox="1"/>
                </xdr:nvSpPr>
                <xdr:spPr>
                  <a:xfrm>
                    <a:off x="7845616" y="1233560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66" name="Grupo 965"/>
              <xdr:cNvGrpSpPr/>
            </xdr:nvGrpSpPr>
            <xdr:grpSpPr>
              <a:xfrm>
                <a:off x="9385830" y="21229863"/>
                <a:ext cx="934949" cy="828000"/>
                <a:chOff x="9535507" y="21991863"/>
                <a:chExt cx="934949" cy="828000"/>
              </a:xfrm>
            </xdr:grpSpPr>
            <xdr:sp macro="" textlink="">
              <xdr:nvSpPr>
                <xdr:cNvPr id="1010" name="Elipse 1009"/>
                <xdr:cNvSpPr/>
              </xdr:nvSpPr>
              <xdr:spPr>
                <a:xfrm>
                  <a:off x="9595756" y="21991863"/>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9">
              <xdr:nvSpPr>
                <xdr:cNvPr id="1011" name="Rectángulo redondeado 1010">
                  <a:extLst>
                    <a:ext uri="{FF2B5EF4-FFF2-40B4-BE49-F238E27FC236}">
                      <a16:creationId xmlns:a16="http://schemas.microsoft.com/office/drawing/2014/main" id="{00000000-0008-0000-0A00-000074000000}"/>
                    </a:ext>
                  </a:extLst>
                </xdr:cNvPr>
                <xdr:cNvSpPr/>
              </xdr:nvSpPr>
              <xdr:spPr>
                <a:xfrm>
                  <a:off x="9535507" y="21998151"/>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836EEC0-E2C2-488C-8116-779FC753F3F7}" type="TxLink">
                    <a:rPr lang="en-US" sz="1600" b="1" i="0" u="none" strike="noStrike">
                      <a:solidFill>
                        <a:srgbClr val="FF0000"/>
                      </a:solidFill>
                      <a:latin typeface="Century Gothic"/>
                    </a:rPr>
                    <a:pPr algn="ctr"/>
                    <a:t>-</a:t>
                  </a:fld>
                  <a:endParaRPr lang="es-CO" sz="3600" i="0">
                    <a:solidFill>
                      <a:srgbClr val="FF0000"/>
                    </a:solidFill>
                  </a:endParaRPr>
                </a:p>
              </xdr:txBody>
            </xdr:sp>
            <xdr:grpSp>
              <xdr:nvGrpSpPr>
                <xdr:cNvPr id="1012" name="Grupo 1011">
                  <a:extLst>
                    <a:ext uri="{FF2B5EF4-FFF2-40B4-BE49-F238E27FC236}">
                      <a16:creationId xmlns:a16="http://schemas.microsoft.com/office/drawing/2014/main" id="{00000000-0008-0000-0A00-0000DF010000}"/>
                    </a:ext>
                  </a:extLst>
                </xdr:cNvPr>
                <xdr:cNvGrpSpPr/>
              </xdr:nvGrpSpPr>
              <xdr:grpSpPr>
                <a:xfrm>
                  <a:off x="9635610" y="22358151"/>
                  <a:ext cx="769986" cy="285018"/>
                  <a:chOff x="10109347" y="12345767"/>
                  <a:chExt cx="770852" cy="285018"/>
                </a:xfrm>
              </xdr:grpSpPr>
              <xdr:sp macro="" textlink="$Y$9">
                <xdr:nvSpPr>
                  <xdr:cNvPr id="1013" name="Rectángulo 1012">
                    <a:extLst>
                      <a:ext uri="{FF2B5EF4-FFF2-40B4-BE49-F238E27FC236}">
                        <a16:creationId xmlns:a16="http://schemas.microsoft.com/office/drawing/2014/main" id="{00000000-0008-0000-0A00-00003C010000}"/>
                      </a:ext>
                    </a:extLst>
                  </xdr:cNvPr>
                  <xdr:cNvSpPr/>
                </xdr:nvSpPr>
                <xdr:spPr>
                  <a:xfrm>
                    <a:off x="10148201"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7F54BFF-DC8A-42C5-9DC4-D854F15632C9}" type="TxLink">
                      <a:rPr lang="en-US" sz="1100" b="1" i="0" u="none" strike="noStrike">
                        <a:solidFill>
                          <a:srgbClr val="FF0000"/>
                        </a:solidFill>
                        <a:latin typeface="Century Gothic"/>
                      </a:rPr>
                      <a:pPr algn="ctr"/>
                      <a:t>-</a:t>
                    </a:fld>
                    <a:endParaRPr lang="es-CO" sz="1400" b="1">
                      <a:solidFill>
                        <a:srgbClr val="FF0000"/>
                      </a:solidFill>
                    </a:endParaRPr>
                  </a:p>
                </xdr:txBody>
              </xdr:sp>
              <xdr:sp macro="" textlink="$M$9">
                <xdr:nvSpPr>
                  <xdr:cNvPr id="1014" name="Rectángulo 1013">
                    <a:extLst>
                      <a:ext uri="{FF2B5EF4-FFF2-40B4-BE49-F238E27FC236}">
                        <a16:creationId xmlns:a16="http://schemas.microsoft.com/office/drawing/2014/main" id="{00000000-0008-0000-0A00-00003D010000}"/>
                      </a:ext>
                    </a:extLst>
                  </xdr:cNvPr>
                  <xdr:cNvSpPr/>
                </xdr:nvSpPr>
                <xdr:spPr>
                  <a:xfrm>
                    <a:off x="10424295" y="123457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7F2FAAC-AB25-428E-9AED-356A7C2B9291}" type="TxLink">
                      <a:rPr lang="en-US" sz="1100" b="1" i="0" u="none" strike="noStrike">
                        <a:solidFill>
                          <a:srgbClr val="FF0000"/>
                        </a:solidFill>
                        <a:latin typeface="Century Gothic"/>
                      </a:rPr>
                      <a:pPr algn="ctr"/>
                      <a:t>-</a:t>
                    </a:fld>
                    <a:endParaRPr lang="es-CO" sz="1400" b="1">
                      <a:solidFill>
                        <a:srgbClr val="FF0000"/>
                      </a:solidFill>
                    </a:endParaRPr>
                  </a:p>
                </xdr:txBody>
              </xdr:sp>
              <xdr:sp macro="" textlink="">
                <xdr:nvSpPr>
                  <xdr:cNvPr id="1015" name="CuadroTexto 1014">
                    <a:extLst>
                      <a:ext uri="{FF2B5EF4-FFF2-40B4-BE49-F238E27FC236}">
                        <a16:creationId xmlns:a16="http://schemas.microsoft.com/office/drawing/2014/main" id="{00000000-0008-0000-0A00-0000DE010000}"/>
                      </a:ext>
                    </a:extLst>
                  </xdr:cNvPr>
                  <xdr:cNvSpPr txBox="1"/>
                </xdr:nvSpPr>
                <xdr:spPr>
                  <a:xfrm>
                    <a:off x="10109347" y="12366225"/>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67" name="Grupo 966"/>
              <xdr:cNvGrpSpPr/>
            </xdr:nvGrpSpPr>
            <xdr:grpSpPr>
              <a:xfrm>
                <a:off x="9394558" y="20352202"/>
                <a:ext cx="934950" cy="828000"/>
                <a:chOff x="9544235" y="20352202"/>
                <a:chExt cx="934950" cy="828000"/>
              </a:xfrm>
            </xdr:grpSpPr>
            <xdr:sp macro="" textlink="">
              <xdr:nvSpPr>
                <xdr:cNvPr id="1004" name="Elipse 1003"/>
                <xdr:cNvSpPr/>
              </xdr:nvSpPr>
              <xdr:spPr>
                <a:xfrm>
                  <a:off x="9595756" y="20352202"/>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10">
              <xdr:nvSpPr>
                <xdr:cNvPr id="1005" name="Rectángulo redondeado 1004">
                  <a:extLst>
                    <a:ext uri="{FF2B5EF4-FFF2-40B4-BE49-F238E27FC236}">
                      <a16:creationId xmlns:a16="http://schemas.microsoft.com/office/drawing/2014/main" id="{00000000-0008-0000-0A00-000012000000}"/>
                    </a:ext>
                  </a:extLst>
                </xdr:cNvPr>
                <xdr:cNvSpPr/>
              </xdr:nvSpPr>
              <xdr:spPr>
                <a:xfrm>
                  <a:off x="9544235" y="20392495"/>
                  <a:ext cx="93495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3F948F4-9438-4DBC-B931-177C9B138602}" type="TxLink">
                    <a:rPr lang="en-US" sz="1600" b="1" i="0" u="none" strike="noStrike">
                      <a:solidFill>
                        <a:srgbClr val="FF0000"/>
                      </a:solidFill>
                      <a:latin typeface="Century Gothic"/>
                    </a:rPr>
                    <a:pPr algn="ctr"/>
                    <a:t>-</a:t>
                  </a:fld>
                  <a:endParaRPr lang="es-CO" sz="3600" b="1">
                    <a:solidFill>
                      <a:srgbClr val="FF0000"/>
                    </a:solidFill>
                  </a:endParaRPr>
                </a:p>
              </xdr:txBody>
            </xdr:sp>
            <xdr:grpSp>
              <xdr:nvGrpSpPr>
                <xdr:cNvPr id="1006" name="Grupo 1005">
                  <a:extLst>
                    <a:ext uri="{FF2B5EF4-FFF2-40B4-BE49-F238E27FC236}">
                      <a16:creationId xmlns:a16="http://schemas.microsoft.com/office/drawing/2014/main" id="{00000000-0008-0000-0A00-0000E3010000}"/>
                    </a:ext>
                  </a:extLst>
                </xdr:cNvPr>
                <xdr:cNvGrpSpPr/>
              </xdr:nvGrpSpPr>
              <xdr:grpSpPr>
                <a:xfrm>
                  <a:off x="9666526" y="20728026"/>
                  <a:ext cx="769986" cy="282293"/>
                  <a:chOff x="2429979" y="13559524"/>
                  <a:chExt cx="770852" cy="282293"/>
                </a:xfrm>
              </xdr:grpSpPr>
              <xdr:sp macro="" textlink="$Y$10">
                <xdr:nvSpPr>
                  <xdr:cNvPr id="1007" name="Rectángulo 1006">
                    <a:extLst>
                      <a:ext uri="{FF2B5EF4-FFF2-40B4-BE49-F238E27FC236}">
                        <a16:creationId xmlns:a16="http://schemas.microsoft.com/office/drawing/2014/main" id="{00000000-0008-0000-0A00-00003E010000}"/>
                      </a:ext>
                    </a:extLst>
                  </xdr:cNvPr>
                  <xdr:cNvSpPr/>
                </xdr:nvSpPr>
                <xdr:spPr>
                  <a:xfrm>
                    <a:off x="2462887"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1AAD326-C79F-4EEB-B4EE-B984D77B7D64}" type="TxLink">
                      <a:rPr lang="en-US" sz="1100" b="1" i="0" u="none" strike="noStrike">
                        <a:solidFill>
                          <a:srgbClr val="FF0000"/>
                        </a:solidFill>
                        <a:latin typeface="Century Gothic"/>
                      </a:rPr>
                      <a:pPr algn="ctr"/>
                      <a:t>-</a:t>
                    </a:fld>
                    <a:endParaRPr lang="es-CO" sz="1600" b="1">
                      <a:solidFill>
                        <a:srgbClr val="FF0000"/>
                      </a:solidFill>
                    </a:endParaRPr>
                  </a:p>
                </xdr:txBody>
              </xdr:sp>
              <xdr:sp macro="" textlink="$M$10">
                <xdr:nvSpPr>
                  <xdr:cNvPr id="1008" name="Rectángulo 1007">
                    <a:extLst>
                      <a:ext uri="{FF2B5EF4-FFF2-40B4-BE49-F238E27FC236}">
                        <a16:creationId xmlns:a16="http://schemas.microsoft.com/office/drawing/2014/main" id="{00000000-0008-0000-0A00-00003F010000}"/>
                      </a:ext>
                    </a:extLst>
                  </xdr:cNvPr>
                  <xdr:cNvSpPr/>
                </xdr:nvSpPr>
                <xdr:spPr>
                  <a:xfrm>
                    <a:off x="2738981" y="13559524"/>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F47712F2-DB94-4506-AF85-FED497ECF0DB}" type="TxLink">
                      <a:rPr lang="en-US" sz="1100" b="1" i="0" u="none" strike="noStrike">
                        <a:solidFill>
                          <a:srgbClr val="FF0000"/>
                        </a:solidFill>
                        <a:latin typeface="Century Gothic"/>
                      </a:rPr>
                      <a:pPr algn="ctr"/>
                      <a:t>-</a:t>
                    </a:fld>
                    <a:endParaRPr lang="es-CO" sz="1600" b="1">
                      <a:solidFill>
                        <a:srgbClr val="FF0000"/>
                      </a:solidFill>
                    </a:endParaRPr>
                  </a:p>
                </xdr:txBody>
              </xdr:sp>
              <xdr:sp macro="" textlink="">
                <xdr:nvSpPr>
                  <xdr:cNvPr id="1009" name="CuadroTexto 1008">
                    <a:extLst>
                      <a:ext uri="{FF2B5EF4-FFF2-40B4-BE49-F238E27FC236}">
                        <a16:creationId xmlns:a16="http://schemas.microsoft.com/office/drawing/2014/main" id="{00000000-0008-0000-0A00-0000E2010000}"/>
                      </a:ext>
                    </a:extLst>
                  </xdr:cNvPr>
                  <xdr:cNvSpPr txBox="1"/>
                </xdr:nvSpPr>
                <xdr:spPr>
                  <a:xfrm>
                    <a:off x="2429979" y="13577257"/>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68" name="Grupo 967"/>
              <xdr:cNvGrpSpPr/>
            </xdr:nvGrpSpPr>
            <xdr:grpSpPr>
              <a:xfrm>
                <a:off x="9422246" y="19501756"/>
                <a:ext cx="934950" cy="828000"/>
                <a:chOff x="9571923" y="19501756"/>
                <a:chExt cx="934950" cy="828000"/>
              </a:xfrm>
            </xdr:grpSpPr>
            <xdr:sp macro="" textlink="">
              <xdr:nvSpPr>
                <xdr:cNvPr id="997" name="Elipse 996"/>
                <xdr:cNvSpPr/>
              </xdr:nvSpPr>
              <xdr:spPr>
                <a:xfrm>
                  <a:off x="9595756" y="19501756"/>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998" name="Grupo 997"/>
                <xdr:cNvGrpSpPr/>
              </xdr:nvGrpSpPr>
              <xdr:grpSpPr>
                <a:xfrm>
                  <a:off x="9571923" y="19551575"/>
                  <a:ext cx="934950" cy="634889"/>
                  <a:chOff x="9721600" y="18163646"/>
                  <a:chExt cx="934950" cy="634889"/>
                </a:xfrm>
              </xdr:grpSpPr>
              <xdr:sp macro="" textlink="$Z$11">
                <xdr:nvSpPr>
                  <xdr:cNvPr id="999" name="Rectángulo redondeado 998">
                    <a:extLst>
                      <a:ext uri="{FF2B5EF4-FFF2-40B4-BE49-F238E27FC236}">
                        <a16:creationId xmlns:a16="http://schemas.microsoft.com/office/drawing/2014/main" id="{00000000-0008-0000-0A00-000018000000}"/>
                      </a:ext>
                    </a:extLst>
                  </xdr:cNvPr>
                  <xdr:cNvSpPr/>
                </xdr:nvSpPr>
                <xdr:spPr>
                  <a:xfrm>
                    <a:off x="9721600" y="18163646"/>
                    <a:ext cx="93495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78B1C03-2F78-46BF-AA2F-DDCF2DD47D09}" type="TxLink">
                      <a:rPr lang="en-US" sz="1600" b="1" i="0" u="none" strike="noStrike">
                        <a:solidFill>
                          <a:srgbClr val="FF0000"/>
                        </a:solidFill>
                        <a:latin typeface="Century Gothic"/>
                      </a:rPr>
                      <a:pPr algn="ctr"/>
                      <a:t>0,0%</a:t>
                    </a:fld>
                    <a:endParaRPr lang="es-CO" sz="4000" b="1">
                      <a:solidFill>
                        <a:srgbClr val="FF0000"/>
                      </a:solidFill>
                    </a:endParaRPr>
                  </a:p>
                </xdr:txBody>
              </xdr:sp>
              <xdr:grpSp>
                <xdr:nvGrpSpPr>
                  <xdr:cNvPr id="1000" name="Grupo 999"/>
                  <xdr:cNvGrpSpPr/>
                </xdr:nvGrpSpPr>
                <xdr:grpSpPr>
                  <a:xfrm>
                    <a:off x="9795132" y="18526392"/>
                    <a:ext cx="707300" cy="272143"/>
                    <a:chOff x="9795132" y="18526392"/>
                    <a:chExt cx="707300" cy="272143"/>
                  </a:xfrm>
                </xdr:grpSpPr>
                <xdr:sp macro="" textlink="$Y$11">
                  <xdr:nvSpPr>
                    <xdr:cNvPr id="1002" name="Rectángulo 1001">
                      <a:extLst>
                        <a:ext uri="{FF2B5EF4-FFF2-40B4-BE49-F238E27FC236}">
                          <a16:creationId xmlns:a16="http://schemas.microsoft.com/office/drawing/2014/main" id="{00000000-0008-0000-0A00-000040010000}"/>
                        </a:ext>
                      </a:extLst>
                    </xdr:cNvPr>
                    <xdr:cNvSpPr/>
                  </xdr:nvSpPr>
                  <xdr:spPr>
                    <a:xfrm>
                      <a:off x="9795132" y="18526392"/>
                      <a:ext cx="431515"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A705C85-ABD8-4327-AD2F-93DA5C81DF1E}" type="TxLink">
                        <a:rPr lang="en-US" sz="1100" b="1" i="0" u="none" strike="noStrike">
                          <a:solidFill>
                            <a:srgbClr val="FF0000"/>
                          </a:solidFill>
                          <a:latin typeface="Century Gothic"/>
                        </a:rPr>
                        <a:pPr algn="ctr"/>
                        <a:t>0</a:t>
                      </a:fld>
                      <a:endParaRPr lang="es-CO" sz="1800" b="1">
                        <a:solidFill>
                          <a:srgbClr val="FF0000"/>
                        </a:solidFill>
                      </a:endParaRPr>
                    </a:p>
                  </xdr:txBody>
                </xdr:sp>
                <xdr:sp macro="" textlink="$M$11">
                  <xdr:nvSpPr>
                    <xdr:cNvPr id="1003" name="Rectángulo 1002">
                      <a:extLst>
                        <a:ext uri="{FF2B5EF4-FFF2-40B4-BE49-F238E27FC236}">
                          <a16:creationId xmlns:a16="http://schemas.microsoft.com/office/drawing/2014/main" id="{00000000-0008-0000-0A00-000041010000}"/>
                        </a:ext>
                      </a:extLst>
                    </xdr:cNvPr>
                    <xdr:cNvSpPr/>
                  </xdr:nvSpPr>
                  <xdr:spPr>
                    <a:xfrm>
                      <a:off x="10070917" y="18526392"/>
                      <a:ext cx="431515"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ECEC232-33E2-4C76-898A-8EB4584E9554}" type="TxLink">
                        <a:rPr lang="en-US" sz="1100" b="1" i="0" u="none" strike="noStrike">
                          <a:solidFill>
                            <a:srgbClr val="FF0000"/>
                          </a:solidFill>
                          <a:latin typeface="Century Gothic"/>
                        </a:rPr>
                        <a:pPr algn="ctr"/>
                        <a:t>3</a:t>
                      </a:fld>
                      <a:endParaRPr lang="es-CO" sz="1800" b="1">
                        <a:solidFill>
                          <a:srgbClr val="FF0000"/>
                        </a:solidFill>
                      </a:endParaRPr>
                    </a:p>
                  </xdr:txBody>
                </xdr:sp>
              </xdr:grpSp>
              <xdr:sp macro="" textlink="">
                <xdr:nvSpPr>
                  <xdr:cNvPr id="1001" name="CuadroTexto 1000">
                    <a:extLst>
                      <a:ext uri="{FF2B5EF4-FFF2-40B4-BE49-F238E27FC236}">
                        <a16:creationId xmlns:a16="http://schemas.microsoft.com/office/drawing/2014/main" id="{00000000-0008-0000-0A00-0000E4010000}"/>
                      </a:ext>
                    </a:extLst>
                  </xdr:cNvPr>
                  <xdr:cNvSpPr txBox="1"/>
                </xdr:nvSpPr>
                <xdr:spPr>
                  <a:xfrm>
                    <a:off x="9759539" y="18527792"/>
                    <a:ext cx="76998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69" name="Grupo 968"/>
              <xdr:cNvGrpSpPr/>
            </xdr:nvGrpSpPr>
            <xdr:grpSpPr>
              <a:xfrm>
                <a:off x="621102" y="23681872"/>
                <a:ext cx="934949" cy="828000"/>
                <a:chOff x="1151781" y="18239014"/>
                <a:chExt cx="934949" cy="828000"/>
              </a:xfrm>
            </xdr:grpSpPr>
            <xdr:sp macro="" textlink="">
              <xdr:nvSpPr>
                <xdr:cNvPr id="991" name="Elipse 990"/>
                <xdr:cNvSpPr/>
              </xdr:nvSpPr>
              <xdr:spPr>
                <a:xfrm>
                  <a:off x="1189263" y="18239014"/>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13">
              <xdr:nvSpPr>
                <xdr:cNvPr id="992" name="Rectángulo redondeado 991">
                  <a:extLst>
                    <a:ext uri="{FF2B5EF4-FFF2-40B4-BE49-F238E27FC236}">
                      <a16:creationId xmlns:a16="http://schemas.microsoft.com/office/drawing/2014/main" id="{00000000-0008-0000-0A00-000020000000}"/>
                    </a:ext>
                  </a:extLst>
                </xdr:cNvPr>
                <xdr:cNvSpPr/>
              </xdr:nvSpPr>
              <xdr:spPr>
                <a:xfrm>
                  <a:off x="1151781" y="18277950"/>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F3006C1-2FC7-4FD6-BFD3-CC8B2DF24CE1}" type="TxLink">
                    <a:rPr lang="en-US" sz="1600" b="1" i="0" u="none" strike="noStrike">
                      <a:solidFill>
                        <a:srgbClr val="FF0000"/>
                      </a:solidFill>
                      <a:latin typeface="Century Gothic"/>
                    </a:rPr>
                    <a:pPr algn="ctr"/>
                    <a:t>9,1%</a:t>
                  </a:fld>
                  <a:endParaRPr lang="es-CO" sz="4000">
                    <a:solidFill>
                      <a:srgbClr val="FF0000"/>
                    </a:solidFill>
                  </a:endParaRPr>
                </a:p>
              </xdr:txBody>
            </xdr:sp>
            <xdr:grpSp>
              <xdr:nvGrpSpPr>
                <xdr:cNvPr id="993" name="Grupo 992">
                  <a:extLst>
                    <a:ext uri="{FF2B5EF4-FFF2-40B4-BE49-F238E27FC236}">
                      <a16:creationId xmlns:a16="http://schemas.microsoft.com/office/drawing/2014/main" id="{00000000-0008-0000-0A00-0000EC010000}"/>
                    </a:ext>
                  </a:extLst>
                </xdr:cNvPr>
                <xdr:cNvGrpSpPr/>
              </xdr:nvGrpSpPr>
              <xdr:grpSpPr>
                <a:xfrm>
                  <a:off x="1191308" y="18633568"/>
                  <a:ext cx="769986" cy="272144"/>
                  <a:chOff x="8330530" y="13560566"/>
                  <a:chExt cx="770852" cy="272144"/>
                </a:xfrm>
              </xdr:grpSpPr>
              <xdr:sp macro="" textlink="$Y$13">
                <xdr:nvSpPr>
                  <xdr:cNvPr id="994" name="Rectángulo 993">
                    <a:extLst>
                      <a:ext uri="{FF2B5EF4-FFF2-40B4-BE49-F238E27FC236}">
                        <a16:creationId xmlns:a16="http://schemas.microsoft.com/office/drawing/2014/main" id="{00000000-0008-0000-0A00-000044010000}"/>
                      </a:ext>
                    </a:extLst>
                  </xdr:cNvPr>
                  <xdr:cNvSpPr/>
                </xdr:nvSpPr>
                <xdr:spPr>
                  <a:xfrm>
                    <a:off x="8371601" y="1356056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0A23335-9C7A-44EF-8816-CA6D51EA2063}" type="TxLink">
                      <a:rPr lang="en-US" sz="1100" b="1" i="0" u="none" strike="noStrike">
                        <a:solidFill>
                          <a:srgbClr val="FF0000"/>
                        </a:solidFill>
                        <a:latin typeface="Century Gothic"/>
                      </a:rPr>
                      <a:pPr algn="ctr"/>
                      <a:t>2</a:t>
                    </a:fld>
                    <a:endParaRPr lang="es-CO" sz="2400" b="1">
                      <a:solidFill>
                        <a:srgbClr val="FF0000"/>
                      </a:solidFill>
                    </a:endParaRPr>
                  </a:p>
                </xdr:txBody>
              </xdr:sp>
              <xdr:sp macro="" textlink="$M$13">
                <xdr:nvSpPr>
                  <xdr:cNvPr id="995" name="Rectángulo 994">
                    <a:extLst>
                      <a:ext uri="{FF2B5EF4-FFF2-40B4-BE49-F238E27FC236}">
                        <a16:creationId xmlns:a16="http://schemas.microsoft.com/office/drawing/2014/main" id="{00000000-0008-0000-0A00-000045010000}"/>
                      </a:ext>
                    </a:extLst>
                  </xdr:cNvPr>
                  <xdr:cNvSpPr/>
                </xdr:nvSpPr>
                <xdr:spPr>
                  <a:xfrm>
                    <a:off x="8647695" y="13560567"/>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BE605DA-7CD0-4FAA-BD66-9F9E8039AE8E}" type="TxLink">
                      <a:rPr lang="en-US" sz="1100" b="1" i="0" u="none" strike="noStrike">
                        <a:solidFill>
                          <a:srgbClr val="FF0000"/>
                        </a:solidFill>
                        <a:latin typeface="Century Gothic"/>
                      </a:rPr>
                      <a:pPr algn="ctr"/>
                      <a:t>22</a:t>
                    </a:fld>
                    <a:endParaRPr lang="es-CO" sz="2400" b="1">
                      <a:solidFill>
                        <a:srgbClr val="FF0000"/>
                      </a:solidFill>
                    </a:endParaRPr>
                  </a:p>
                </xdr:txBody>
              </xdr:sp>
              <xdr:sp macro="" textlink="">
                <xdr:nvSpPr>
                  <xdr:cNvPr id="996" name="CuadroTexto 995">
                    <a:extLst>
                      <a:ext uri="{FF2B5EF4-FFF2-40B4-BE49-F238E27FC236}">
                        <a16:creationId xmlns:a16="http://schemas.microsoft.com/office/drawing/2014/main" id="{00000000-0008-0000-0A00-0000EB010000}"/>
                      </a:ext>
                    </a:extLst>
                  </xdr:cNvPr>
                  <xdr:cNvSpPr txBox="1"/>
                </xdr:nvSpPr>
                <xdr:spPr>
                  <a:xfrm>
                    <a:off x="8330530" y="13564353"/>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70" name="Grupo 969"/>
              <xdr:cNvGrpSpPr/>
            </xdr:nvGrpSpPr>
            <xdr:grpSpPr>
              <a:xfrm>
                <a:off x="8661872" y="22389193"/>
                <a:ext cx="934949" cy="828000"/>
                <a:chOff x="2334551" y="16823872"/>
                <a:chExt cx="934949" cy="828000"/>
              </a:xfrm>
            </xdr:grpSpPr>
            <xdr:sp macro="" textlink="">
              <xdr:nvSpPr>
                <xdr:cNvPr id="985" name="Elipse 984"/>
                <xdr:cNvSpPr/>
              </xdr:nvSpPr>
              <xdr:spPr>
                <a:xfrm>
                  <a:off x="2373085" y="16823872"/>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14">
              <xdr:nvSpPr>
                <xdr:cNvPr id="986" name="Rectángulo redondeado 985">
                  <a:extLst>
                    <a:ext uri="{FF2B5EF4-FFF2-40B4-BE49-F238E27FC236}">
                      <a16:creationId xmlns:a16="http://schemas.microsoft.com/office/drawing/2014/main" id="{00000000-0008-0000-0A00-000024000000}"/>
                    </a:ext>
                  </a:extLst>
                </xdr:cNvPr>
                <xdr:cNvSpPr/>
              </xdr:nvSpPr>
              <xdr:spPr>
                <a:xfrm>
                  <a:off x="2334551" y="16879138"/>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FA3769B-56AA-48D3-8D1C-9C231ADBDFFE}" type="TxLink">
                    <a:rPr lang="en-US" sz="1600" b="1" i="0" u="none" strike="noStrike">
                      <a:solidFill>
                        <a:srgbClr val="FF0000"/>
                      </a:solidFill>
                      <a:latin typeface="Century Gothic"/>
                    </a:rPr>
                    <a:pPr algn="ctr"/>
                    <a:t>0,9%</a:t>
                  </a:fld>
                  <a:endParaRPr lang="es-CO" sz="4000">
                    <a:solidFill>
                      <a:srgbClr val="FF0000"/>
                    </a:solidFill>
                  </a:endParaRPr>
                </a:p>
              </xdr:txBody>
            </xdr:sp>
            <xdr:grpSp>
              <xdr:nvGrpSpPr>
                <xdr:cNvPr id="987" name="Grupo 986">
                  <a:extLst>
                    <a:ext uri="{FF2B5EF4-FFF2-40B4-BE49-F238E27FC236}">
                      <a16:creationId xmlns:a16="http://schemas.microsoft.com/office/drawing/2014/main" id="{00000000-0008-0000-0A00-0000EF010000}"/>
                    </a:ext>
                  </a:extLst>
                </xdr:cNvPr>
                <xdr:cNvGrpSpPr/>
              </xdr:nvGrpSpPr>
              <xdr:grpSpPr>
                <a:xfrm>
                  <a:off x="2394502" y="17213015"/>
                  <a:ext cx="770744" cy="287404"/>
                  <a:chOff x="10243446" y="13514334"/>
                  <a:chExt cx="771611" cy="287404"/>
                </a:xfrm>
              </xdr:grpSpPr>
              <xdr:sp macro="" textlink="$Y$14">
                <xdr:nvSpPr>
                  <xdr:cNvPr id="988" name="Rectángulo 987">
                    <a:extLst>
                      <a:ext uri="{FF2B5EF4-FFF2-40B4-BE49-F238E27FC236}">
                        <a16:creationId xmlns:a16="http://schemas.microsoft.com/office/drawing/2014/main" id="{00000000-0008-0000-0A00-000046010000}"/>
                      </a:ext>
                    </a:extLst>
                  </xdr:cNvPr>
                  <xdr:cNvSpPr/>
                </xdr:nvSpPr>
                <xdr:spPr>
                  <a:xfrm>
                    <a:off x="10243446" y="1352959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47C550F-75B1-4904-B84E-F6B4831F5463}" type="TxLink">
                      <a:rPr lang="en-US" sz="1100" b="1" i="0" u="none" strike="noStrike">
                        <a:solidFill>
                          <a:srgbClr val="FF0000"/>
                        </a:solidFill>
                        <a:latin typeface="Century Gothic"/>
                      </a:rPr>
                      <a:pPr algn="ctr"/>
                      <a:t>1</a:t>
                    </a:fld>
                    <a:endParaRPr lang="es-CO" sz="2800" b="1">
                      <a:solidFill>
                        <a:srgbClr val="FF0000"/>
                      </a:solidFill>
                    </a:endParaRPr>
                  </a:p>
                </xdr:txBody>
              </xdr:sp>
              <xdr:sp macro="" textlink="$M$14">
                <xdr:nvSpPr>
                  <xdr:cNvPr id="989" name="Rectángulo 988">
                    <a:extLst>
                      <a:ext uri="{FF2B5EF4-FFF2-40B4-BE49-F238E27FC236}">
                        <a16:creationId xmlns:a16="http://schemas.microsoft.com/office/drawing/2014/main" id="{00000000-0008-0000-0A00-000047010000}"/>
                      </a:ext>
                    </a:extLst>
                  </xdr:cNvPr>
                  <xdr:cNvSpPr/>
                </xdr:nvSpPr>
                <xdr:spPr>
                  <a:xfrm>
                    <a:off x="10545523" y="13529595"/>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22FC292-F1C8-4B2A-B5AB-48412D80C74E}" type="TxLink">
                      <a:rPr lang="en-US" sz="1100" b="1" i="0" u="none" strike="noStrike">
                        <a:solidFill>
                          <a:srgbClr val="FF0000"/>
                        </a:solidFill>
                        <a:latin typeface="Century Gothic"/>
                      </a:rPr>
                      <a:pPr algn="ctr"/>
                      <a:t>110</a:t>
                    </a:fld>
                    <a:endParaRPr lang="es-CO" sz="2800" b="1">
                      <a:solidFill>
                        <a:srgbClr val="FF0000"/>
                      </a:solidFill>
                    </a:endParaRPr>
                  </a:p>
                </xdr:txBody>
              </xdr:sp>
              <xdr:sp macro="" textlink="">
                <xdr:nvSpPr>
                  <xdr:cNvPr id="990" name="CuadroTexto 989">
                    <a:extLst>
                      <a:ext uri="{FF2B5EF4-FFF2-40B4-BE49-F238E27FC236}">
                        <a16:creationId xmlns:a16="http://schemas.microsoft.com/office/drawing/2014/main" id="{00000000-0008-0000-0A00-0000EE010000}"/>
                      </a:ext>
                    </a:extLst>
                  </xdr:cNvPr>
                  <xdr:cNvSpPr txBox="1"/>
                </xdr:nvSpPr>
                <xdr:spPr>
                  <a:xfrm>
                    <a:off x="10244205" y="13514334"/>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71" name="Grupo 970"/>
              <xdr:cNvGrpSpPr/>
            </xdr:nvGrpSpPr>
            <xdr:grpSpPr>
              <a:xfrm>
                <a:off x="5302434" y="24624845"/>
                <a:ext cx="934950" cy="828000"/>
                <a:chOff x="5084722" y="24597631"/>
                <a:chExt cx="934950" cy="828000"/>
              </a:xfrm>
            </xdr:grpSpPr>
            <xdr:sp macro="" textlink="">
              <xdr:nvSpPr>
                <xdr:cNvPr id="979" name="Elipse 978"/>
                <xdr:cNvSpPr/>
              </xdr:nvSpPr>
              <xdr:spPr>
                <a:xfrm>
                  <a:off x="5119008" y="24597631"/>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17">
              <xdr:nvSpPr>
                <xdr:cNvPr id="980" name="Rectángulo redondeado 979">
                  <a:extLst>
                    <a:ext uri="{FF2B5EF4-FFF2-40B4-BE49-F238E27FC236}">
                      <a16:creationId xmlns:a16="http://schemas.microsoft.com/office/drawing/2014/main" id="{00000000-0008-0000-0A00-000030000000}"/>
                    </a:ext>
                  </a:extLst>
                </xdr:cNvPr>
                <xdr:cNvSpPr/>
              </xdr:nvSpPr>
              <xdr:spPr>
                <a:xfrm>
                  <a:off x="5084722" y="24673308"/>
                  <a:ext cx="934950"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C2B470-A9B9-4923-A76E-A2BB15FBED4B}" type="TxLink">
                    <a:rPr lang="en-US" sz="1600" b="1" i="0" u="none" strike="noStrike">
                      <a:solidFill>
                        <a:srgbClr val="FF0000"/>
                      </a:solidFill>
                      <a:latin typeface="Century Gothic"/>
                    </a:rPr>
                    <a:pPr algn="ctr"/>
                    <a:t>30,0%</a:t>
                  </a:fld>
                  <a:endParaRPr lang="es-CO" sz="4000">
                    <a:solidFill>
                      <a:srgbClr val="FF0000"/>
                    </a:solidFill>
                  </a:endParaRPr>
                </a:p>
              </xdr:txBody>
            </xdr:sp>
            <xdr:grpSp>
              <xdr:nvGrpSpPr>
                <xdr:cNvPr id="981" name="Grupo 980">
                  <a:extLst>
                    <a:ext uri="{FF2B5EF4-FFF2-40B4-BE49-F238E27FC236}">
                      <a16:creationId xmlns:a16="http://schemas.microsoft.com/office/drawing/2014/main" id="{00000000-0008-0000-0A00-0000F8010000}"/>
                    </a:ext>
                  </a:extLst>
                </xdr:cNvPr>
                <xdr:cNvGrpSpPr/>
              </xdr:nvGrpSpPr>
              <xdr:grpSpPr>
                <a:xfrm>
                  <a:off x="5125880" y="25013305"/>
                  <a:ext cx="769986" cy="292170"/>
                  <a:chOff x="6466365" y="14306946"/>
                  <a:chExt cx="770852" cy="292170"/>
                </a:xfrm>
              </xdr:grpSpPr>
              <xdr:sp macro="" textlink="$Y$17">
                <xdr:nvSpPr>
                  <xdr:cNvPr id="982" name="Rectángulo 981">
                    <a:extLst>
                      <a:ext uri="{FF2B5EF4-FFF2-40B4-BE49-F238E27FC236}">
                        <a16:creationId xmlns:a16="http://schemas.microsoft.com/office/drawing/2014/main" id="{00000000-0008-0000-0A00-00004C010000}"/>
                      </a:ext>
                    </a:extLst>
                  </xdr:cNvPr>
                  <xdr:cNvSpPr/>
                </xdr:nvSpPr>
                <xdr:spPr>
                  <a:xfrm>
                    <a:off x="6482448"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F7ED691-DC63-436E-9A51-855EB50F4B62}" type="TxLink">
                      <a:rPr lang="en-US" sz="1100" b="1" i="0" u="none" strike="noStrike">
                        <a:solidFill>
                          <a:srgbClr val="FF0000"/>
                        </a:solidFill>
                        <a:latin typeface="Century Gothic"/>
                      </a:rPr>
                      <a:pPr algn="ctr"/>
                      <a:t>12</a:t>
                    </a:fld>
                    <a:endParaRPr lang="es-CO" sz="4000" b="1">
                      <a:solidFill>
                        <a:srgbClr val="FF0000"/>
                      </a:solidFill>
                    </a:endParaRPr>
                  </a:p>
                </xdr:txBody>
              </xdr:sp>
              <xdr:sp macro="" textlink="$M$17">
                <xdr:nvSpPr>
                  <xdr:cNvPr id="983" name="Rectángulo 982">
                    <a:extLst>
                      <a:ext uri="{FF2B5EF4-FFF2-40B4-BE49-F238E27FC236}">
                        <a16:creationId xmlns:a16="http://schemas.microsoft.com/office/drawing/2014/main" id="{00000000-0008-0000-0A00-00004D010000}"/>
                      </a:ext>
                    </a:extLst>
                  </xdr:cNvPr>
                  <xdr:cNvSpPr/>
                </xdr:nvSpPr>
                <xdr:spPr>
                  <a:xfrm>
                    <a:off x="6758543" y="14326973"/>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9120C57-E99D-4967-8C10-2AC403DB4CB5}" type="TxLink">
                      <a:rPr lang="en-US" sz="1100" b="1" i="0" u="none" strike="noStrike">
                        <a:solidFill>
                          <a:srgbClr val="FF0000"/>
                        </a:solidFill>
                        <a:latin typeface="Century Gothic"/>
                      </a:rPr>
                      <a:pPr algn="ctr"/>
                      <a:t>40</a:t>
                    </a:fld>
                    <a:endParaRPr lang="es-CO" sz="4000" b="1">
                      <a:solidFill>
                        <a:srgbClr val="FF0000"/>
                      </a:solidFill>
                    </a:endParaRPr>
                  </a:p>
                </xdr:txBody>
              </xdr:sp>
              <xdr:sp macro="" textlink="">
                <xdr:nvSpPr>
                  <xdr:cNvPr id="984" name="CuadroTexto 983">
                    <a:extLst>
                      <a:ext uri="{FF2B5EF4-FFF2-40B4-BE49-F238E27FC236}">
                        <a16:creationId xmlns:a16="http://schemas.microsoft.com/office/drawing/2014/main" id="{00000000-0008-0000-0A00-0000F7010000}"/>
                      </a:ext>
                    </a:extLst>
                  </xdr:cNvPr>
                  <xdr:cNvSpPr txBox="1"/>
                </xdr:nvSpPr>
                <xdr:spPr>
                  <a:xfrm>
                    <a:off x="6466365" y="14306946"/>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 </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nvGrpSpPr>
              <xdr:cNvPr id="972" name="Grupo 971"/>
              <xdr:cNvGrpSpPr/>
            </xdr:nvGrpSpPr>
            <xdr:grpSpPr>
              <a:xfrm>
                <a:off x="5277510" y="23679153"/>
                <a:ext cx="934949" cy="828000"/>
                <a:chOff x="11155796" y="21474796"/>
                <a:chExt cx="934949" cy="828000"/>
              </a:xfrm>
            </xdr:grpSpPr>
            <xdr:sp macro="" textlink="">
              <xdr:nvSpPr>
                <xdr:cNvPr id="973" name="Elipse 972"/>
                <xdr:cNvSpPr/>
              </xdr:nvSpPr>
              <xdr:spPr>
                <a:xfrm>
                  <a:off x="11187792" y="21474796"/>
                  <a:ext cx="828000" cy="828000"/>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Z$18">
              <xdr:nvSpPr>
                <xdr:cNvPr id="974" name="Rectángulo redondeado 973">
                  <a:extLst>
                    <a:ext uri="{FF2B5EF4-FFF2-40B4-BE49-F238E27FC236}">
                      <a16:creationId xmlns:a16="http://schemas.microsoft.com/office/drawing/2014/main" id="{00000000-0008-0000-0A00-000034000000}"/>
                    </a:ext>
                  </a:extLst>
                </xdr:cNvPr>
                <xdr:cNvSpPr/>
              </xdr:nvSpPr>
              <xdr:spPr>
                <a:xfrm>
                  <a:off x="11155796" y="21532782"/>
                  <a:ext cx="934949" cy="5023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3201669-27D2-4545-A0C5-989A52227D4C}" type="TxLink">
                    <a:rPr lang="en-US" sz="1600" b="1" i="0" u="none" strike="noStrike">
                      <a:solidFill>
                        <a:srgbClr val="FF0000"/>
                      </a:solidFill>
                      <a:latin typeface="Century Gothic"/>
                    </a:rPr>
                    <a:pPr algn="ctr"/>
                    <a:t>10,5%</a:t>
                  </a:fld>
                  <a:endParaRPr lang="es-CO" sz="4000">
                    <a:solidFill>
                      <a:srgbClr val="FF0000"/>
                    </a:solidFill>
                  </a:endParaRPr>
                </a:p>
              </xdr:txBody>
            </xdr:sp>
            <xdr:grpSp>
              <xdr:nvGrpSpPr>
                <xdr:cNvPr id="975" name="Grupo 974">
                  <a:extLst>
                    <a:ext uri="{FF2B5EF4-FFF2-40B4-BE49-F238E27FC236}">
                      <a16:creationId xmlns:a16="http://schemas.microsoft.com/office/drawing/2014/main" id="{00000000-0008-0000-0A00-0000FB010000}"/>
                    </a:ext>
                  </a:extLst>
                </xdr:cNvPr>
                <xdr:cNvGrpSpPr/>
              </xdr:nvGrpSpPr>
              <xdr:grpSpPr>
                <a:xfrm>
                  <a:off x="11188832" y="21893867"/>
                  <a:ext cx="769986" cy="284689"/>
                  <a:chOff x="8340423" y="14317150"/>
                  <a:chExt cx="770852" cy="284689"/>
                </a:xfrm>
              </xdr:grpSpPr>
              <xdr:sp macro="" textlink="$Y$18">
                <xdr:nvSpPr>
                  <xdr:cNvPr id="976" name="Rectángulo 975">
                    <a:extLst>
                      <a:ext uri="{FF2B5EF4-FFF2-40B4-BE49-F238E27FC236}">
                        <a16:creationId xmlns:a16="http://schemas.microsoft.com/office/drawing/2014/main" id="{00000000-0008-0000-0A00-00004E010000}"/>
                      </a:ext>
                    </a:extLst>
                  </xdr:cNvPr>
                  <xdr:cNvSpPr/>
                </xdr:nvSpPr>
                <xdr:spPr>
                  <a:xfrm>
                    <a:off x="8376562"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638D55F-40C8-440F-9C2F-A5B63E3A3687}" type="TxLink">
                      <a:rPr lang="en-US" sz="1100" b="1" i="0" u="none" strike="noStrike">
                        <a:solidFill>
                          <a:srgbClr val="FF0000"/>
                        </a:solidFill>
                        <a:latin typeface="Century Gothic"/>
                      </a:rPr>
                      <a:pPr algn="ctr"/>
                      <a:t>2</a:t>
                    </a:fld>
                    <a:endParaRPr lang="es-CO" sz="4400" b="1">
                      <a:solidFill>
                        <a:srgbClr val="FF0000"/>
                      </a:solidFill>
                    </a:endParaRPr>
                  </a:p>
                </xdr:txBody>
              </xdr:sp>
              <xdr:sp macro="" textlink="$M$18">
                <xdr:nvSpPr>
                  <xdr:cNvPr id="977" name="Rectángulo 976">
                    <a:extLst>
                      <a:ext uri="{FF2B5EF4-FFF2-40B4-BE49-F238E27FC236}">
                        <a16:creationId xmlns:a16="http://schemas.microsoft.com/office/drawing/2014/main" id="{00000000-0008-0000-0A00-00004F010000}"/>
                      </a:ext>
                    </a:extLst>
                  </xdr:cNvPr>
                  <xdr:cNvSpPr/>
                </xdr:nvSpPr>
                <xdr:spPr>
                  <a:xfrm>
                    <a:off x="8652656" y="14329696"/>
                    <a:ext cx="432000" cy="27214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833C0C-8781-4705-A8B5-45E1AACA10C9}" type="TxLink">
                      <a:rPr lang="en-US" sz="1100" b="1" i="0" u="none" strike="noStrike">
                        <a:solidFill>
                          <a:srgbClr val="FF0000"/>
                        </a:solidFill>
                        <a:latin typeface="Century Gothic"/>
                      </a:rPr>
                      <a:pPr algn="ctr"/>
                      <a:t>19</a:t>
                    </a:fld>
                    <a:endParaRPr lang="es-CO" sz="4400" b="1">
                      <a:solidFill>
                        <a:srgbClr val="FF0000"/>
                      </a:solidFill>
                    </a:endParaRPr>
                  </a:p>
                </xdr:txBody>
              </xdr:sp>
              <xdr:sp macro="" textlink="">
                <xdr:nvSpPr>
                  <xdr:cNvPr id="978" name="CuadroTexto 977">
                    <a:extLst>
                      <a:ext uri="{FF2B5EF4-FFF2-40B4-BE49-F238E27FC236}">
                        <a16:creationId xmlns:a16="http://schemas.microsoft.com/office/drawing/2014/main" id="{00000000-0008-0000-0A00-0000FA010000}"/>
                      </a:ext>
                    </a:extLst>
                  </xdr:cNvPr>
                  <xdr:cNvSpPr txBox="1"/>
                </xdr:nvSpPr>
                <xdr:spPr>
                  <a:xfrm>
                    <a:off x="8340423" y="14317150"/>
                    <a:ext cx="770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CO" sz="1100">
                        <a:solidFill>
                          <a:srgbClr val="FF0000"/>
                        </a:solidFill>
                        <a:latin typeface="Century Gothic" panose="020B0502020202020204" pitchFamily="34" charset="0"/>
                      </a:rPr>
                      <a:t>(</a:t>
                    </a:r>
                    <a:r>
                      <a:rPr lang="es-CO" sz="1100" baseline="0">
                        <a:solidFill>
                          <a:srgbClr val="FF0000"/>
                        </a:solidFill>
                        <a:latin typeface="Century Gothic" panose="020B0502020202020204" pitchFamily="34" charset="0"/>
                      </a:rPr>
                      <a:t>     /     </a:t>
                    </a:r>
                    <a:r>
                      <a:rPr lang="es-CO" sz="1100">
                        <a:solidFill>
                          <a:srgbClr val="FF0000"/>
                        </a:solidFill>
                        <a:latin typeface="Century Gothic" panose="020B0502020202020204" pitchFamily="34" charset="0"/>
                      </a:rPr>
                      <a:t>)</a:t>
                    </a:r>
                  </a:p>
                </xdr:txBody>
              </xdr:sp>
            </xdr:grpSp>
          </xdr:grpSp>
        </xdr:grp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MP\Plantilla%20Formatos%20n&#250;mero%201y%2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ROCESO%20GESTI&#211;N%20VENTA%20DE%20SERVICIOS/PM%20Pr.%20Gesti&#243;n%20Venta%20de%20Servici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ROCESO%20ATENCI&#211;N%20EN%20URGENCIAS/PM%20Pr.%20Atenci&#243;n%20en%20Urgenci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OCESO%20ATENCI&#211;N%20EN%20HOSPITALIZACI&#211;N/PM%20Pr.%20Atenci&#243;n%20en%20Hospitalizaci&#243;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CESO%20GESTI&#211;N%20SERVICIO%20FARMAC&#201;UTICO/PM%20Pr.%20Gesti&#243;n%20Servicio%20Farmac&#233;utic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ROCESO%20GESTI&#211;N%20JUR&#205;DICA/PM%20Pr.%20Gesti&#243;n%20Jur&#237;dic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CESO%20ATENCI&#211;N%20EN%20LABORATORIO%20CL&#205;NICO/PM%20Pr.%20Atenci&#243;n%20en%20Laboratori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hector.vallejo\2023_CONTROL%20INTERNO%2025102023\+SEGUIMIENTO%20PLANES%20DE%20MEJORAMIENTO%20DE%20LAS%20AUDITORIAS%20CON%20ENFOQUE%20EN%20RIESGOS\SUBGERENCIA%20RED%20DE%20SERVICIOS\Plan%20Mejora%20Atenci&#243;n%20Ambulatori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ROCESO%20GESTI&#211;N%20LOG&#205;STICA/PM%20Pr.%20Gesti&#243;n%20Log&#237;stic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ROCESO%20GESTI&#211;N%20DOCUMENTAL/PM%20Pr.%20Gesti&#243;n%20Document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ROCESO%20ATENCI&#211;N%20AMBULATORIA/PM%20Pr.%20Atenci&#243;n%20Ambulator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16\7700\R%20Cuenta\Formatos\CNC\Formato%20Contralor&#237;a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ROCESO%20ATENCI&#211;N%20EN%20P%20Y%20P/PM%20Pr.%20Atenci&#243;n%20en%20PyP.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Hoja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ROCESO%20ATENCI&#211;N%20EN%20IM&#193;GENES%20DIAGN&#211;STICAS/PM%20Pr.%20Atenci&#243;n%20en%20Im&#225;genes%20Dx.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ROCESO%20GESTI&#211;N%20TALENTO%20HUMANO/PM%20Pr.%20Gesti&#243;n%20Talento%20Human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ROCESO%20GESTI&#211;N%20DOCENCIA%20SERVICIO/PM%20Pr.%20Gesti&#243;n%20Docencia%20Servicio.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ROCESO%20DESARROLLO%20DEL%20SISTEMA%20DE%20GESTI&#211;N/PM%20Pr.%20Desarrollo%20Sistema%20Gesti&#243;n.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ROCESO%20GESTI&#211;N%20DE%20LA%20CONTRATACI&#211;N/PM%20Pr.%20Gesti&#243;n%20de%20la%20Contrataci&#243;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IN%20PROCESO%20-%20REFERENCIA%20Y%20CONTRARREFERENCIA/PM%20Referencia%20y%20Contrarreferencia.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ROCESO%20GESTI&#211;N%20SALUD%20P&#218;BLICA%20Y%20TERRITORIAL/PM%20Pr.%20Gesti&#243;n%20Salud%20P&#250;blic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IN%20PROCESO%20-%20COMUNICACI&#211;N%20ORGANIZACIONAL/PM%20Comunicaci&#243;n%20Organizacio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oporte.METROSALUD\Dropbox\Mi%20PC%20(11M1050W198)\Documents\AUDITORIA\33%20SEGUIMIENTO%20A%20PLANES%20DE%20MEJORAMIENTO\2020\MISIONALES\AMBULATORIOS\PLAN%20DE%20MEJORAMIENTO%20AMBULATORIO%20SEGUIMIENTO%20NOVIEMBRE%20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ROCESO%20DIRECCIONAMIENTO%20Y%20PLANEACI&#211;N/PM%20Pr.%20Direccionamiento%20y%20Planeaci&#243;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IN%20PROCESO%20-%20AUDITOR&#205;AS%20INTEGRALES/PM%20Auditor&#237;as%20Integrale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ROCESO%20GESTI&#211;N%20SISTEMA%20DE%20INFORMACI&#211;N/PM%20Pr.%20Gesti&#243;n%20Sistema%20Informaci&#243;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V:\PLANES%20DE%20MEJORAMIENTO%20DE%20LAS%20AUDITORIAS%20CON%20ENFOQUE%20EN%20RIESGOS%202022-2023\CONSOLIDADO%20AUDITORIAS%20CON%20ENFOQUE%20EN%20RIESGOS%202022-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acarrilg\AppData\Local\Microsoft\Windows\Temporary%20Internet%20Files\Content.Outlook\FQ23WZZ2\Copia%20de%20Vigencias%20Futuras%20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JOTA%20LOPEZ%20-%20BACK%20UP%20(26042016)\2018\GESTION_DE_LA_MEJORA\MODELO_MEJORA_METROSALUD\0_F_PLAN_DE_MEJORAMIENTO_V5_2603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laudiar.gonzalez\Documents\AUDITORIA\14%20LABORATORIO\2019\4.%20PLAN%20DE%20MEJORAMIENTO\PLAN%20DE%20MEJORAMIENTO%20SERVICIO%20DE%20LABOARTORI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TEMP\Plantilla%20Formatos%20n&#250;mero%201y%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ROCESO%20GESTI&#211;N%20FINANCIERA/PM%20Pr.%20Gesti&#243;n%20Financier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ROCESO%20ATENCI&#211;N%20QUIR&#218;RGICA/PM%20Pr.%20Atenci&#243;n%20Quir&#250;rg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ENERO-SEPT 1998)"/>
      <sheetName val="FORMATO 2 (OCT-DIC 1998)"/>
      <sheetName val="ENER-SEPT"/>
      <sheetName val="OCT-DIC"/>
      <sheetName val="ACTIVIDADES"/>
      <sheetName val="Listados"/>
      <sheetName val="Listado"/>
      <sheetName val="Hoja1"/>
      <sheetName val="Listas Desplegables"/>
      <sheetName val="INGRESO DE DATOS"/>
      <sheetName val="FORMATO_1_(ENERO-SEPT_1998)"/>
      <sheetName val="FORMATO_2_(OCT-DIC_1998)"/>
    </sheetNames>
    <sheetDataSet>
      <sheetData sheetId="0" refreshError="1"/>
      <sheetData sheetId="1" refreshError="1"/>
      <sheetData sheetId="2" refreshError="1">
        <row r="1">
          <cell r="A1" t="str">
            <v>CdeA</v>
          </cell>
          <cell r="B1" t="str">
            <v>Nombre</v>
          </cell>
        </row>
        <row r="3">
          <cell r="A3">
            <v>0</v>
          </cell>
          <cell r="B3" t="str">
            <v>CENTRO DE COSTO NO EXISTE!!!</v>
          </cell>
        </row>
        <row r="4">
          <cell r="A4">
            <v>600</v>
          </cell>
          <cell r="B4" t="str">
            <v>AUDITORIA</v>
          </cell>
        </row>
        <row r="5">
          <cell r="A5">
            <v>601</v>
          </cell>
          <cell r="B5" t="str">
            <v>CENTRO DE COSTO NO EXISTE!!!</v>
          </cell>
        </row>
        <row r="6">
          <cell r="A6">
            <v>700</v>
          </cell>
          <cell r="B6" t="str">
            <v>ORGANISMOS DE CONTROL Y VIGILANCIA</v>
          </cell>
        </row>
        <row r="7">
          <cell r="A7">
            <v>701</v>
          </cell>
          <cell r="B7" t="str">
            <v>CENTRO DE COSTO NO EXISTE!!!</v>
          </cell>
        </row>
        <row r="8">
          <cell r="A8">
            <v>800</v>
          </cell>
          <cell r="B8" t="str">
            <v>JUNTA DIRECTIVA</v>
          </cell>
        </row>
        <row r="9">
          <cell r="A9">
            <v>801</v>
          </cell>
          <cell r="B9" t="str">
            <v>CENTRO DE COSTO NO EXISTE!!!</v>
          </cell>
        </row>
        <row r="10">
          <cell r="A10">
            <v>900</v>
          </cell>
          <cell r="B10" t="str">
            <v>GERENCIA GENERAL</v>
          </cell>
        </row>
        <row r="11">
          <cell r="A11">
            <v>901</v>
          </cell>
          <cell r="B11" t="str">
            <v>CENTRO DE COSTO NO EXISTE!!!</v>
          </cell>
        </row>
        <row r="12">
          <cell r="A12">
            <v>902</v>
          </cell>
          <cell r="B12" t="str">
            <v>GRUPO DE TRANSFORMACIÓN INTERNA</v>
          </cell>
        </row>
        <row r="13">
          <cell r="A13">
            <v>903</v>
          </cell>
          <cell r="B13" t="str">
            <v>SUBPROYECTO FINANZAS</v>
          </cell>
        </row>
        <row r="14">
          <cell r="A14">
            <v>904</v>
          </cell>
          <cell r="B14" t="str">
            <v>SUBPROYECTO COMERCIALIZADORA</v>
          </cell>
        </row>
        <row r="15">
          <cell r="A15">
            <v>905</v>
          </cell>
          <cell r="B15" t="str">
            <v>SUBPROYECTO RRHH</v>
          </cell>
        </row>
        <row r="16">
          <cell r="A16">
            <v>906</v>
          </cell>
          <cell r="B16" t="str">
            <v>SUBPROYECTO ESTRUCTURA</v>
          </cell>
        </row>
        <row r="17">
          <cell r="A17">
            <v>907</v>
          </cell>
          <cell r="B17" t="str">
            <v>SUBPROYECTO PLANEACIÓN ESTRATEGICA</v>
          </cell>
        </row>
        <row r="18">
          <cell r="A18">
            <v>908</v>
          </cell>
          <cell r="B18" t="str">
            <v>SUBPROYECTO ADMINISTRACIÓN DEL CAMBIO</v>
          </cell>
        </row>
        <row r="19">
          <cell r="A19">
            <v>909</v>
          </cell>
          <cell r="B19" t="str">
            <v>SUBPROYECTO CAMBIO CULTURAL</v>
          </cell>
        </row>
        <row r="20">
          <cell r="A20">
            <v>910</v>
          </cell>
          <cell r="B20" t="str">
            <v>DIRECCION PLANEACION</v>
          </cell>
        </row>
        <row r="21">
          <cell r="A21">
            <v>911</v>
          </cell>
          <cell r="B21" t="str">
            <v>CENTRO DE COSTO NO EXISTE!!!</v>
          </cell>
        </row>
        <row r="22">
          <cell r="A22">
            <v>930</v>
          </cell>
          <cell r="B22" t="str">
            <v>UNIDAD COMUNICAC. Y REL. CORPORATIVAS</v>
          </cell>
        </row>
        <row r="23">
          <cell r="A23">
            <v>931</v>
          </cell>
          <cell r="B23" t="str">
            <v>PUBLICIDAD INSTITUCIONAL EEPP</v>
          </cell>
        </row>
        <row r="24">
          <cell r="A24">
            <v>932</v>
          </cell>
          <cell r="B24" t="str">
            <v>CENTRO DE COSTO NO EXISTE!!!</v>
          </cell>
        </row>
        <row r="25">
          <cell r="A25">
            <v>933</v>
          </cell>
          <cell r="B25" t="str">
            <v>CENTRO DE COSTO NO EXISTE!!!</v>
          </cell>
        </row>
        <row r="26">
          <cell r="A26">
            <v>950</v>
          </cell>
          <cell r="B26" t="str">
            <v>DIRECCION DE CONTROL INTERNO</v>
          </cell>
        </row>
        <row r="27">
          <cell r="A27">
            <v>951</v>
          </cell>
          <cell r="B27" t="str">
            <v>UNIDAD DE DEFINICION DE CONTROL</v>
          </cell>
        </row>
        <row r="28">
          <cell r="A28">
            <v>952</v>
          </cell>
          <cell r="B28" t="str">
            <v>UNIDAD DE VERIF DE CONTROL</v>
          </cell>
        </row>
        <row r="29">
          <cell r="A29">
            <v>953</v>
          </cell>
          <cell r="B29" t="str">
            <v>CENTRO DE COSTO NO EXISTE!!!</v>
          </cell>
        </row>
        <row r="30">
          <cell r="A30">
            <v>1000</v>
          </cell>
          <cell r="B30" t="str">
            <v>GERENCIA DE AGUAS</v>
          </cell>
        </row>
        <row r="31">
          <cell r="A31">
            <v>1001</v>
          </cell>
          <cell r="B31" t="str">
            <v>PLAN DESARROLLO INFORMATICA . A. Y A.</v>
          </cell>
        </row>
        <row r="32">
          <cell r="A32">
            <v>1002</v>
          </cell>
          <cell r="B32" t="str">
            <v>PLANEACIÓN AGUAS</v>
          </cell>
        </row>
        <row r="33">
          <cell r="A33">
            <v>1003</v>
          </cell>
          <cell r="B33" t="str">
            <v>UNIDAD SANEAMIENTO HIDRICO</v>
          </cell>
        </row>
        <row r="34">
          <cell r="A34">
            <v>1004</v>
          </cell>
          <cell r="B34" t="str">
            <v>CENTRO DE COSTO NO EXISTE!!!</v>
          </cell>
        </row>
        <row r="35">
          <cell r="A35">
            <v>1010</v>
          </cell>
          <cell r="B35" t="str">
            <v>UNIDAD DESARROLLO ORG. Y GESTION ADMINIST.</v>
          </cell>
        </row>
        <row r="36">
          <cell r="A36">
            <v>1011</v>
          </cell>
          <cell r="B36" t="str">
            <v>CENTRO DE COSTO NO EXISTE!!!</v>
          </cell>
        </row>
        <row r="37">
          <cell r="A37">
            <v>1015</v>
          </cell>
          <cell r="B37" t="str">
            <v>UNIDAD CAPACITACION ACUEDUCTO Y ALCANT.</v>
          </cell>
        </row>
        <row r="38">
          <cell r="A38">
            <v>1016</v>
          </cell>
          <cell r="B38" t="str">
            <v>CENTRO DE COSTO NO EXISTE!!!</v>
          </cell>
        </row>
        <row r="39">
          <cell r="A39">
            <v>1020</v>
          </cell>
          <cell r="B39" t="str">
            <v>UNIDAD DE NEGOCIOS DE ACUEDUCTO Y ALCANT.</v>
          </cell>
        </row>
        <row r="40">
          <cell r="A40">
            <v>1021</v>
          </cell>
          <cell r="B40" t="str">
            <v>CENTRO DE COSTO NO EXISTE!!!</v>
          </cell>
        </row>
        <row r="41">
          <cell r="A41">
            <v>1030</v>
          </cell>
          <cell r="B41" t="str">
            <v>SUMINISTRO AGUA POTABLE SANEAM. CALDAS</v>
          </cell>
        </row>
        <row r="42">
          <cell r="A42">
            <v>1031</v>
          </cell>
          <cell r="B42" t="str">
            <v>CENTRO DE COSTO NO EXISTE!!!</v>
          </cell>
        </row>
        <row r="43">
          <cell r="A43">
            <v>1040</v>
          </cell>
          <cell r="B43" t="str">
            <v>SUMINISTRO AGUA POTABLE SANEAM. BARBOSA</v>
          </cell>
        </row>
        <row r="44">
          <cell r="A44">
            <v>1041</v>
          </cell>
          <cell r="B44" t="str">
            <v>CENTRO DE COSTO NO EXISTE!!!</v>
          </cell>
        </row>
        <row r="45">
          <cell r="A45">
            <v>1100</v>
          </cell>
          <cell r="B45" t="str">
            <v>DIVISION PROYECTOS A Y A</v>
          </cell>
        </row>
        <row r="46">
          <cell r="A46">
            <v>1101</v>
          </cell>
          <cell r="B46" t="str">
            <v>CENTRO DE COSTO NO EXISTE!!!</v>
          </cell>
        </row>
        <row r="47">
          <cell r="A47">
            <v>1160</v>
          </cell>
          <cell r="B47" t="str">
            <v>DPTO. PROYECTOS PLANTAS DE TRATAMIENTO</v>
          </cell>
        </row>
        <row r="48">
          <cell r="A48">
            <v>1161</v>
          </cell>
          <cell r="B48" t="str">
            <v>CENTRO DE COSTO NO EXISTE!!!</v>
          </cell>
        </row>
        <row r="49">
          <cell r="A49">
            <v>1175</v>
          </cell>
          <cell r="B49" t="str">
            <v>HABILITAC. VIVIEND., CORREG. Y VEREDAS</v>
          </cell>
        </row>
        <row r="50">
          <cell r="A50">
            <v>1176</v>
          </cell>
          <cell r="B50" t="str">
            <v>CENTRO DE COSTO NO EXISTE!!!</v>
          </cell>
        </row>
        <row r="51">
          <cell r="A51">
            <v>1180</v>
          </cell>
          <cell r="B51" t="str">
            <v>DPTO. PROYECTOS ACUEDUCTO</v>
          </cell>
        </row>
        <row r="52">
          <cell r="A52">
            <v>1181</v>
          </cell>
          <cell r="B52" t="str">
            <v>CENTRO DE COSTO NO EXISTE!!!</v>
          </cell>
        </row>
        <row r="53">
          <cell r="A53">
            <v>1190</v>
          </cell>
          <cell r="B53" t="str">
            <v>DPTO. PROYECTOS ALCANTARILLADO</v>
          </cell>
        </row>
        <row r="54">
          <cell r="A54">
            <v>1191</v>
          </cell>
          <cell r="B54" t="str">
            <v>CENTRO DE COSTO NO EXISTE!!!</v>
          </cell>
        </row>
        <row r="55">
          <cell r="A55">
            <v>1200</v>
          </cell>
          <cell r="B55" t="str">
            <v>DIVISION PRODUCCION AGUA POTABLE</v>
          </cell>
        </row>
        <row r="56">
          <cell r="A56">
            <v>1201</v>
          </cell>
          <cell r="B56" t="str">
            <v>UNIDAD CONTROL CAL ACUEDUCTO</v>
          </cell>
        </row>
        <row r="57">
          <cell r="A57">
            <v>1202</v>
          </cell>
          <cell r="B57" t="str">
            <v>CENTRO DE COSTO NO EXISTE!!!</v>
          </cell>
        </row>
        <row r="58">
          <cell r="A58">
            <v>1210</v>
          </cell>
          <cell r="B58" t="str">
            <v>DEPTO. OPERACIÓN SISTEMA ACTO.</v>
          </cell>
        </row>
        <row r="59">
          <cell r="A59">
            <v>1211</v>
          </cell>
          <cell r="B59" t="str">
            <v>CENTRO DE COSTO NO EXISTE!!!</v>
          </cell>
        </row>
        <row r="60">
          <cell r="A60">
            <v>1213</v>
          </cell>
          <cell r="B60" t="str">
            <v>TANQUES</v>
          </cell>
        </row>
        <row r="61">
          <cell r="A61">
            <v>1214</v>
          </cell>
          <cell r="B61" t="str">
            <v>CENTRO DE COSTO NO EXISTE!!!</v>
          </cell>
        </row>
        <row r="62">
          <cell r="A62">
            <v>1217</v>
          </cell>
          <cell r="B62" t="str">
            <v>ENERGIA BOMBEOS DISTRIBUCION</v>
          </cell>
        </row>
        <row r="63">
          <cell r="A63">
            <v>1218</v>
          </cell>
          <cell r="B63" t="str">
            <v>ENERGIA PLANTAS TRATAMIENTO</v>
          </cell>
        </row>
        <row r="64">
          <cell r="A64">
            <v>1219</v>
          </cell>
          <cell r="B64" t="str">
            <v>ENERGIA BOMBEOS CAPTACION</v>
          </cell>
        </row>
        <row r="65">
          <cell r="A65">
            <v>1220</v>
          </cell>
          <cell r="B65" t="str">
            <v>DEPTO. MANT. EQUIPOS ACUEDUCTO</v>
          </cell>
        </row>
        <row r="66">
          <cell r="A66">
            <v>1221</v>
          </cell>
          <cell r="B66" t="str">
            <v>CENTRO DE COSTO NO EXISTE!!!</v>
          </cell>
        </row>
        <row r="67">
          <cell r="A67">
            <v>1230</v>
          </cell>
          <cell r="B67" t="str">
            <v>DEPTO. CENTRO DE CONTROL</v>
          </cell>
        </row>
        <row r="68">
          <cell r="A68">
            <v>1231</v>
          </cell>
          <cell r="B68" t="str">
            <v>CENTRO DE COSTO NO EXISTE!!!</v>
          </cell>
        </row>
        <row r="69">
          <cell r="A69">
            <v>1240</v>
          </cell>
          <cell r="B69" t="str">
            <v>DEPTO. TRATAMIENTO AGUA POTABLE</v>
          </cell>
        </row>
        <row r="70">
          <cell r="A70">
            <v>1241</v>
          </cell>
          <cell r="B70" t="str">
            <v>CENTRO DE COSTO NO EXISTE!!!</v>
          </cell>
        </row>
        <row r="71">
          <cell r="A71">
            <v>1250</v>
          </cell>
          <cell r="B71" t="str">
            <v>REPARAC. COND. NIQUIA MANANTIALES</v>
          </cell>
        </row>
        <row r="72">
          <cell r="A72">
            <v>1251</v>
          </cell>
          <cell r="B72" t="str">
            <v>CENTRO DE COSTO NO EXISTE!!!</v>
          </cell>
        </row>
        <row r="73">
          <cell r="A73">
            <v>1260</v>
          </cell>
          <cell r="B73" t="str">
            <v>DPTO. MANTENIMIENTO OBRAS CIVILES</v>
          </cell>
        </row>
        <row r="74">
          <cell r="A74">
            <v>1261</v>
          </cell>
          <cell r="B74" t="str">
            <v>CENTRO DE COSTO NO EXISTE!!!</v>
          </cell>
        </row>
        <row r="75">
          <cell r="A75">
            <v>1310</v>
          </cell>
          <cell r="B75" t="str">
            <v>DEPTO MANTENIMIENTO ACUEDUCTO</v>
          </cell>
        </row>
        <row r="76">
          <cell r="A76">
            <v>1311</v>
          </cell>
          <cell r="B76" t="str">
            <v>CENTRO DE COSTO NO EXISTE!!!</v>
          </cell>
        </row>
        <row r="77">
          <cell r="A77">
            <v>1320</v>
          </cell>
          <cell r="B77" t="str">
            <v>DEPTO ALCANTARILLADO</v>
          </cell>
        </row>
        <row r="78">
          <cell r="A78">
            <v>1321</v>
          </cell>
          <cell r="B78" t="str">
            <v>CENTRO DE COSTO NO EXISTE!!!</v>
          </cell>
        </row>
        <row r="79">
          <cell r="A79">
            <v>1500</v>
          </cell>
          <cell r="B79" t="str">
            <v>DIVISION DISTRIB. AGUA POTABLE</v>
          </cell>
        </row>
        <row r="80">
          <cell r="A80">
            <v>1501</v>
          </cell>
          <cell r="B80" t="str">
            <v>UNIDAD INF. DISTRIB. A. Y A.</v>
          </cell>
        </row>
        <row r="81">
          <cell r="A81">
            <v>1502</v>
          </cell>
          <cell r="B81" t="str">
            <v>CENTRO DE COSTO NO EXISTE!!!</v>
          </cell>
        </row>
        <row r="82">
          <cell r="A82">
            <v>1510</v>
          </cell>
          <cell r="B82" t="str">
            <v>DPTO. INVEST. Y PROG. ACTO.</v>
          </cell>
        </row>
        <row r="83">
          <cell r="A83">
            <v>1511</v>
          </cell>
          <cell r="B83" t="str">
            <v>CENTRO DE COSTO NO EXISTE!!!</v>
          </cell>
        </row>
        <row r="84">
          <cell r="A84">
            <v>1520</v>
          </cell>
          <cell r="B84" t="str">
            <v>DPTO. TECNICO DISTRIB. AGUA POTABLE</v>
          </cell>
        </row>
        <row r="85">
          <cell r="A85">
            <v>1521</v>
          </cell>
          <cell r="B85" t="str">
            <v>CENTRO DE COSTO NO EXISTE!!!</v>
          </cell>
        </row>
        <row r="86">
          <cell r="A86">
            <v>1530</v>
          </cell>
          <cell r="B86" t="str">
            <v>DPTO. INSTALACIONES A Y A</v>
          </cell>
        </row>
        <row r="87">
          <cell r="A87">
            <v>1531</v>
          </cell>
          <cell r="B87" t="str">
            <v>CENTRO DE COSTO NO EXISTE!!!</v>
          </cell>
        </row>
        <row r="88">
          <cell r="A88">
            <v>1540</v>
          </cell>
          <cell r="B88" t="str">
            <v>DPTO. MAMTENIMIENTO ACUEDUCTO</v>
          </cell>
        </row>
        <row r="89">
          <cell r="A89">
            <v>1541</v>
          </cell>
          <cell r="B89" t="str">
            <v>ZONA MANTENIMIENTO PREVENTIVO</v>
          </cell>
        </row>
        <row r="90">
          <cell r="A90">
            <v>1542</v>
          </cell>
          <cell r="B90" t="str">
            <v>DAÑOS ZONA SUR</v>
          </cell>
        </row>
        <row r="91">
          <cell r="A91">
            <v>1543</v>
          </cell>
          <cell r="B91" t="str">
            <v>DAÑOS ZONA CENTRO</v>
          </cell>
        </row>
        <row r="92">
          <cell r="A92">
            <v>1544</v>
          </cell>
          <cell r="B92" t="str">
            <v>DAÑOS ZONA NORTE</v>
          </cell>
        </row>
        <row r="93">
          <cell r="A93">
            <v>1545</v>
          </cell>
          <cell r="B93" t="str">
            <v>DAÑOS ZONA NORTE-NORTE</v>
          </cell>
        </row>
        <row r="94">
          <cell r="A94">
            <v>1546</v>
          </cell>
          <cell r="B94" t="str">
            <v>CENTRO DE COSTO NO EXISTE!!!</v>
          </cell>
        </row>
        <row r="95">
          <cell r="A95">
            <v>1548</v>
          </cell>
          <cell r="B95" t="str">
            <v>APERTURA DE ZANJAS Y APIQUES</v>
          </cell>
        </row>
        <row r="96">
          <cell r="A96">
            <v>1549</v>
          </cell>
          <cell r="B96" t="str">
            <v>REPOSICION REDES VALVULAS E HIDRANTES</v>
          </cell>
        </row>
        <row r="97">
          <cell r="A97">
            <v>1550</v>
          </cell>
          <cell r="B97" t="str">
            <v>DPTO. OPERATIVO PERDIDAS ACTO.</v>
          </cell>
        </row>
        <row r="98">
          <cell r="A98">
            <v>1551</v>
          </cell>
          <cell r="B98" t="str">
            <v>CENTRO DE COSTO NO EXISTE!!!</v>
          </cell>
        </row>
        <row r="99">
          <cell r="A99">
            <v>1552</v>
          </cell>
          <cell r="B99" t="str">
            <v>MEDIDORES</v>
          </cell>
        </row>
        <row r="100">
          <cell r="A100">
            <v>1553</v>
          </cell>
          <cell r="B100" t="str">
            <v>PITOMETRIA</v>
          </cell>
        </row>
        <row r="101">
          <cell r="A101">
            <v>1554</v>
          </cell>
          <cell r="B101" t="str">
            <v>CONTROL Y RECUPERACION</v>
          </cell>
        </row>
        <row r="102">
          <cell r="A102">
            <v>1555</v>
          </cell>
          <cell r="B102" t="str">
            <v>CENTRO DE COSTO NO EXISTE!!!</v>
          </cell>
        </row>
        <row r="103">
          <cell r="A103">
            <v>1600</v>
          </cell>
          <cell r="B103" t="str">
            <v>DIVISION COLECCIÓN AGUA RESIDUAL</v>
          </cell>
        </row>
        <row r="104">
          <cell r="A104">
            <v>1601</v>
          </cell>
          <cell r="B104" t="str">
            <v>CENTRO DE COSTO NO EXISTE!!!</v>
          </cell>
        </row>
        <row r="105">
          <cell r="A105">
            <v>1610</v>
          </cell>
          <cell r="B105" t="str">
            <v>DPTO. TECNICO COLEC. AGUA RESIDUAL</v>
          </cell>
        </row>
        <row r="106">
          <cell r="A106">
            <v>1611</v>
          </cell>
          <cell r="B106" t="str">
            <v>CENTRO DE COSTO NO EXISTE!!!</v>
          </cell>
        </row>
        <row r="107">
          <cell r="A107">
            <v>1620</v>
          </cell>
          <cell r="B107" t="str">
            <v>DPTO. MAMTENIMIENTO ALCANTARILLADO</v>
          </cell>
        </row>
        <row r="108">
          <cell r="A108">
            <v>1621</v>
          </cell>
          <cell r="B108" t="str">
            <v>MANTENIMIENTO ALCANTARILLADO</v>
          </cell>
        </row>
        <row r="109">
          <cell r="A109">
            <v>1622</v>
          </cell>
          <cell r="B109" t="str">
            <v>DAÑOS ZONA SUR</v>
          </cell>
        </row>
        <row r="110">
          <cell r="A110">
            <v>1623</v>
          </cell>
          <cell r="B110" t="str">
            <v>DAÑOS ZONA NORTE</v>
          </cell>
        </row>
        <row r="111">
          <cell r="A111">
            <v>1624</v>
          </cell>
          <cell r="B111" t="str">
            <v>DAÑOS ZONA NORTE-NORTE</v>
          </cell>
        </row>
        <row r="112">
          <cell r="A112">
            <v>1625</v>
          </cell>
          <cell r="B112" t="str">
            <v>CENTRO DE COSTO NO EXISTE!!!</v>
          </cell>
        </row>
        <row r="113">
          <cell r="A113">
            <v>1628</v>
          </cell>
          <cell r="B113" t="str">
            <v>RECONST. Y LIMPIEZA DE SUMIDEROS</v>
          </cell>
        </row>
        <row r="114">
          <cell r="A114">
            <v>1629</v>
          </cell>
          <cell r="B114" t="str">
            <v>REPOSICION REDES APIQUES Y CAMARAS</v>
          </cell>
        </row>
        <row r="115">
          <cell r="A115">
            <v>1630</v>
          </cell>
          <cell r="B115" t="str">
            <v>CPTO. CONTROL VERTIMIENTOS</v>
          </cell>
        </row>
        <row r="116">
          <cell r="A116">
            <v>1631</v>
          </cell>
          <cell r="B116" t="str">
            <v>CENTRO DE COSTO NO EXISTE!!!</v>
          </cell>
        </row>
        <row r="117">
          <cell r="A117">
            <v>1640</v>
          </cell>
          <cell r="B117" t="str">
            <v>CPTO. PAVIMENTOS</v>
          </cell>
        </row>
        <row r="118">
          <cell r="A118">
            <v>1641</v>
          </cell>
          <cell r="B118" t="str">
            <v>CENTRO DE COSTO NO EXISTE!!!</v>
          </cell>
        </row>
        <row r="119">
          <cell r="A119">
            <v>2000</v>
          </cell>
          <cell r="B119" t="str">
            <v>GERENCIA GENERACIÓN ENERGÍA</v>
          </cell>
        </row>
        <row r="120">
          <cell r="A120">
            <v>2001</v>
          </cell>
          <cell r="B120" t="str">
            <v>CENTRO DE COSTO NO EXISTE!!!</v>
          </cell>
        </row>
        <row r="121">
          <cell r="A121">
            <v>2002</v>
          </cell>
          <cell r="B121" t="str">
            <v>SUBGERENCIA PLANEACIÓN GENERACIÓN</v>
          </cell>
        </row>
        <row r="122">
          <cell r="A122">
            <v>2003</v>
          </cell>
          <cell r="B122" t="str">
            <v>CENTRO DE COSTO NO EXISTE!!!</v>
          </cell>
        </row>
        <row r="123">
          <cell r="A123">
            <v>2010</v>
          </cell>
          <cell r="B123" t="str">
            <v>UNIDAD DESARROLLO ORG. GEN. ENERGIA</v>
          </cell>
        </row>
        <row r="124">
          <cell r="A124">
            <v>2011</v>
          </cell>
          <cell r="B124" t="str">
            <v>EST.Y RESCATE ARQUEOLOGICO</v>
          </cell>
        </row>
        <row r="125">
          <cell r="A125">
            <v>2012</v>
          </cell>
          <cell r="B125" t="str">
            <v>ESTUDIOS SOCIOECONOMICOS</v>
          </cell>
        </row>
        <row r="126">
          <cell r="A126">
            <v>2013</v>
          </cell>
          <cell r="B126" t="str">
            <v>ESTUDIO PLANTA TERMICA</v>
          </cell>
        </row>
        <row r="127">
          <cell r="A127">
            <v>2014</v>
          </cell>
          <cell r="B127" t="str">
            <v>CENTRO DE COSTO NO EXISTE!!!</v>
          </cell>
        </row>
        <row r="128">
          <cell r="A128">
            <v>2015</v>
          </cell>
          <cell r="B128" t="str">
            <v>ESTUDIOS EMPRESARIALES</v>
          </cell>
        </row>
        <row r="129">
          <cell r="A129">
            <v>2016</v>
          </cell>
          <cell r="B129" t="str">
            <v>ESTUDIOS NUEVOS NEGOCIOS</v>
          </cell>
        </row>
        <row r="130">
          <cell r="A130">
            <v>2017</v>
          </cell>
          <cell r="B130" t="str">
            <v>CENTRO DE COSTO NO EXISTE!!!</v>
          </cell>
        </row>
        <row r="131">
          <cell r="A131">
            <v>2018</v>
          </cell>
          <cell r="B131" t="str">
            <v>ESTUDIOS TERMO CESAR</v>
          </cell>
        </row>
        <row r="132">
          <cell r="A132">
            <v>2019</v>
          </cell>
          <cell r="B132" t="str">
            <v>CENTRO DE COSTO NO EXISTE!!!</v>
          </cell>
        </row>
        <row r="133">
          <cell r="A133">
            <v>2020</v>
          </cell>
          <cell r="B133" t="str">
            <v>ESTUDIOS RIO SAMANA NORTE</v>
          </cell>
        </row>
        <row r="134">
          <cell r="A134">
            <v>2021</v>
          </cell>
          <cell r="B134" t="str">
            <v>ESTUDIOS SAN BARTOLOME</v>
          </cell>
        </row>
        <row r="135">
          <cell r="A135">
            <v>2022</v>
          </cell>
          <cell r="B135" t="str">
            <v>ESTUDIOS SAN ANDRES</v>
          </cell>
        </row>
        <row r="136">
          <cell r="A136">
            <v>2023</v>
          </cell>
          <cell r="B136" t="str">
            <v>CENTRO DE COSTO NO EXISTE!!!</v>
          </cell>
        </row>
        <row r="137">
          <cell r="A137">
            <v>2025</v>
          </cell>
          <cell r="B137" t="str">
            <v>FACTIBILIDAD PENDERISCO MURRI</v>
          </cell>
        </row>
        <row r="138">
          <cell r="A138">
            <v>2026</v>
          </cell>
          <cell r="B138" t="str">
            <v>PREFACTIBILIDAD SAN JORGE</v>
          </cell>
        </row>
        <row r="139">
          <cell r="A139">
            <v>2027</v>
          </cell>
          <cell r="B139" t="str">
            <v>CENTRO DE COSTO NO EXISTE!!!</v>
          </cell>
        </row>
        <row r="140">
          <cell r="A140">
            <v>2028</v>
          </cell>
          <cell r="B140" t="str">
            <v>FACTIBILIDAD HONDA Y OVEJAS</v>
          </cell>
        </row>
        <row r="141">
          <cell r="A141">
            <v>2029</v>
          </cell>
          <cell r="B141" t="str">
            <v>GASTOS FINANCIEROS NECHI</v>
          </cell>
        </row>
        <row r="142">
          <cell r="A142">
            <v>2030</v>
          </cell>
          <cell r="B142" t="str">
            <v>GASTOS FINANCIEROS PENDERISCO-MURRI</v>
          </cell>
        </row>
        <row r="143">
          <cell r="A143">
            <v>2031</v>
          </cell>
          <cell r="B143" t="str">
            <v>EST. OPTIMIZAC. SIST. GUADALUPE</v>
          </cell>
        </row>
        <row r="144">
          <cell r="A144">
            <v>2032</v>
          </cell>
          <cell r="B144" t="str">
            <v>EST. ISA COLCIENCIAS</v>
          </cell>
        </row>
        <row r="145">
          <cell r="A145">
            <v>2033</v>
          </cell>
          <cell r="B145" t="str">
            <v>GASTOS FINANCIEROS RIACHON</v>
          </cell>
        </row>
        <row r="146">
          <cell r="A146">
            <v>2034</v>
          </cell>
          <cell r="B146" t="str">
            <v>ESTUDIOS RIO ARMA</v>
          </cell>
        </row>
        <row r="147">
          <cell r="A147">
            <v>2035</v>
          </cell>
          <cell r="B147" t="str">
            <v>ESTUDIOS FACTIBIL RIACHON</v>
          </cell>
        </row>
        <row r="148">
          <cell r="A148">
            <v>2036</v>
          </cell>
          <cell r="B148" t="str">
            <v>LEVANTAMIENTO AEROFOTOGRAMETRICO</v>
          </cell>
        </row>
        <row r="149">
          <cell r="A149">
            <v>2037</v>
          </cell>
          <cell r="B149" t="str">
            <v>ESTUDIO FACTIBILIDAD GUAICO</v>
          </cell>
        </row>
        <row r="150">
          <cell r="A150">
            <v>2038</v>
          </cell>
          <cell r="B150" t="str">
            <v>ESTUDIO FACTIBILIDAD NECHI</v>
          </cell>
        </row>
        <row r="151">
          <cell r="A151">
            <v>2039</v>
          </cell>
          <cell r="B151" t="str">
            <v>PREFACTIBILIDAD PENDERISCO MURRI</v>
          </cell>
        </row>
        <row r="152">
          <cell r="A152">
            <v>2040</v>
          </cell>
          <cell r="B152" t="str">
            <v>ESTUDIOS VARIOS DE ORDENACIÓN</v>
          </cell>
        </row>
        <row r="153">
          <cell r="A153">
            <v>2041</v>
          </cell>
          <cell r="B153" t="str">
            <v>QUEBRADA HONDA Y OVEJAS</v>
          </cell>
        </row>
        <row r="154">
          <cell r="A154">
            <v>2042</v>
          </cell>
          <cell r="B154" t="str">
            <v>CENTRO DE COSTO NO EXISTE!!!</v>
          </cell>
        </row>
        <row r="155">
          <cell r="A155">
            <v>2043</v>
          </cell>
          <cell r="B155" t="str">
            <v>ESTUDIOS ERMITANO</v>
          </cell>
        </row>
        <row r="156">
          <cell r="A156">
            <v>2044</v>
          </cell>
          <cell r="B156" t="str">
            <v>CENTRO DE COSTO NO EXISTE!!!</v>
          </cell>
        </row>
        <row r="157">
          <cell r="A157">
            <v>2050</v>
          </cell>
          <cell r="B157" t="str">
            <v>ESTUDIOS PORCE III</v>
          </cell>
        </row>
        <row r="158">
          <cell r="A158">
            <v>2051</v>
          </cell>
          <cell r="B158" t="str">
            <v>CENTRO DE COSTO NO EXISTE!!!</v>
          </cell>
        </row>
        <row r="159">
          <cell r="A159">
            <v>2060</v>
          </cell>
          <cell r="B159" t="str">
            <v>ESTUDIOS DE FACTIBILIDAD</v>
          </cell>
        </row>
        <row r="160">
          <cell r="A160">
            <v>2061</v>
          </cell>
          <cell r="B160" t="str">
            <v>CENTRO DE COSTO NO EXISTE!!!</v>
          </cell>
        </row>
        <row r="161">
          <cell r="A161">
            <v>2091</v>
          </cell>
          <cell r="B161" t="str">
            <v>AJ POR INFL ESTUDIOS</v>
          </cell>
        </row>
        <row r="162">
          <cell r="A162">
            <v>2092</v>
          </cell>
          <cell r="B162" t="str">
            <v>AJ POR INFL ESTUDIOS</v>
          </cell>
        </row>
        <row r="163">
          <cell r="A163">
            <v>2093</v>
          </cell>
          <cell r="B163" t="str">
            <v>AJ POR INFL ESTUDIOS</v>
          </cell>
        </row>
        <row r="164">
          <cell r="A164">
            <v>2094</v>
          </cell>
          <cell r="B164" t="str">
            <v>AJ POR INFL ESTUDIOS</v>
          </cell>
        </row>
        <row r="165">
          <cell r="A165">
            <v>2095</v>
          </cell>
          <cell r="B165" t="str">
            <v>CENTRO DE COSTO NO EXISTE!!!</v>
          </cell>
        </row>
        <row r="166">
          <cell r="A166">
            <v>2100</v>
          </cell>
          <cell r="B166" t="str">
            <v>DIVISION MERCADEO GENERACION</v>
          </cell>
        </row>
        <row r="167">
          <cell r="A167">
            <v>2101</v>
          </cell>
          <cell r="B167" t="str">
            <v>CENTRO DE COSTO NO EXISTE!!!</v>
          </cell>
        </row>
        <row r="168">
          <cell r="A168">
            <v>2300</v>
          </cell>
          <cell r="B168" t="str">
            <v>ÁREA PROYECTO PORCE II</v>
          </cell>
        </row>
        <row r="169">
          <cell r="A169">
            <v>2301</v>
          </cell>
          <cell r="B169" t="str">
            <v>GRUPO EDIFICIO EEPPM</v>
          </cell>
        </row>
        <row r="170">
          <cell r="A170">
            <v>2302</v>
          </cell>
          <cell r="B170" t="str">
            <v>CENTRO DE COSTO NO EXISTE!!!</v>
          </cell>
        </row>
        <row r="171">
          <cell r="A171">
            <v>2305</v>
          </cell>
          <cell r="B171" t="str">
            <v>UNIDAD DE PROGRAMACIÓN Y CONTROL PORCE II</v>
          </cell>
        </row>
        <row r="172">
          <cell r="A172">
            <v>2306</v>
          </cell>
          <cell r="B172" t="str">
            <v>CENTRO DE COSTO NO EXISTE!!!</v>
          </cell>
        </row>
        <row r="173">
          <cell r="A173">
            <v>2310</v>
          </cell>
          <cell r="B173" t="str">
            <v>EQUIPOS PORCE II</v>
          </cell>
        </row>
        <row r="174">
          <cell r="A174">
            <v>2311</v>
          </cell>
          <cell r="B174" t="str">
            <v>CENTRO DE COSTO NO EXISTE!!!</v>
          </cell>
        </row>
        <row r="175">
          <cell r="A175">
            <v>2320</v>
          </cell>
          <cell r="B175" t="str">
            <v>OBRAS CIVILES PORCE II</v>
          </cell>
        </row>
        <row r="176">
          <cell r="A176">
            <v>2321</v>
          </cell>
          <cell r="B176" t="str">
            <v>CENTRO DE COSTO NO EXISTE!!!</v>
          </cell>
        </row>
        <row r="177">
          <cell r="A177">
            <v>2330</v>
          </cell>
          <cell r="B177" t="str">
            <v>SERVICIOS GENERALES PORCE II</v>
          </cell>
        </row>
        <row r="178">
          <cell r="A178">
            <v>2331</v>
          </cell>
          <cell r="B178" t="str">
            <v>CENTRO DE COSTO NO EXISTE!!!</v>
          </cell>
        </row>
        <row r="179">
          <cell r="A179">
            <v>2333</v>
          </cell>
          <cell r="B179" t="str">
            <v>CASINOS PORCE II</v>
          </cell>
        </row>
        <row r="180">
          <cell r="A180">
            <v>2334</v>
          </cell>
          <cell r="B180" t="str">
            <v>ALMACEN PORCE II</v>
          </cell>
        </row>
        <row r="181">
          <cell r="A181">
            <v>2335</v>
          </cell>
          <cell r="B181" t="str">
            <v>CENTRO DE COSTO NO EXISTE!!!</v>
          </cell>
        </row>
        <row r="182">
          <cell r="A182">
            <v>2337</v>
          </cell>
          <cell r="B182" t="str">
            <v>TALLER INDUST Y AUTOM PORCE II</v>
          </cell>
        </row>
        <row r="183">
          <cell r="A183">
            <v>2338</v>
          </cell>
          <cell r="B183" t="str">
            <v>SOSTENIMIENTO VIAS PORCE II</v>
          </cell>
        </row>
        <row r="184">
          <cell r="A184">
            <v>2339</v>
          </cell>
          <cell r="B184" t="str">
            <v>SOSTENIMIENTO GENERAL PORCE II</v>
          </cell>
        </row>
        <row r="185">
          <cell r="A185">
            <v>2340</v>
          </cell>
          <cell r="B185" t="str">
            <v>GESTIÓN AMBIENTAL PORCE II</v>
          </cell>
        </row>
        <row r="186">
          <cell r="A186">
            <v>2341</v>
          </cell>
          <cell r="B186" t="str">
            <v>CENTRO DE COSTO NO EXISTE!!!</v>
          </cell>
        </row>
        <row r="187">
          <cell r="A187">
            <v>2500</v>
          </cell>
          <cell r="B187" t="str">
            <v>DIVISIÓN PROYECTO NECHI</v>
          </cell>
        </row>
        <row r="188">
          <cell r="A188">
            <v>2501</v>
          </cell>
          <cell r="B188" t="str">
            <v>UNIDAD PROGRAM. Y CONTROL NECHI</v>
          </cell>
        </row>
        <row r="189">
          <cell r="A189">
            <v>2502</v>
          </cell>
          <cell r="B189" t="str">
            <v>CENTRO DE COSTO NO EXISTE!!!</v>
          </cell>
        </row>
        <row r="190">
          <cell r="A190">
            <v>2510</v>
          </cell>
          <cell r="B190" t="str">
            <v>DEPTO EQUIPOS NECHI</v>
          </cell>
        </row>
        <row r="191">
          <cell r="A191">
            <v>2511</v>
          </cell>
          <cell r="B191" t="str">
            <v>CENTRO DE COSTO NO EXISTE!!!</v>
          </cell>
        </row>
        <row r="192">
          <cell r="A192">
            <v>2520</v>
          </cell>
          <cell r="B192" t="str">
            <v>DEPTO OBRAS CIVILES NECHI</v>
          </cell>
        </row>
        <row r="193">
          <cell r="A193">
            <v>2521</v>
          </cell>
          <cell r="B193" t="str">
            <v>CENTRO DE COSTO NO EXISTE!!!</v>
          </cell>
        </row>
        <row r="194">
          <cell r="A194">
            <v>2530</v>
          </cell>
          <cell r="B194" t="str">
            <v>DEPTO SERV. GENERALES NECHI</v>
          </cell>
        </row>
        <row r="195">
          <cell r="A195">
            <v>2531</v>
          </cell>
          <cell r="B195" t="str">
            <v>CENTRO DE COSTO NO EXISTE!!!</v>
          </cell>
        </row>
        <row r="196">
          <cell r="A196">
            <v>2600</v>
          </cell>
          <cell r="B196" t="str">
            <v>SUBGERENCIA OPERACIÓN GENERACIÓN</v>
          </cell>
        </row>
        <row r="197">
          <cell r="A197">
            <v>2601</v>
          </cell>
          <cell r="B197" t="str">
            <v>ANALISIS TÉCNICO</v>
          </cell>
        </row>
        <row r="198">
          <cell r="A198">
            <v>2602</v>
          </cell>
          <cell r="B198" t="str">
            <v>CENTRO DE COSTO NO EXISTE!!!</v>
          </cell>
        </row>
        <row r="199">
          <cell r="A199">
            <v>2610</v>
          </cell>
          <cell r="B199" t="str">
            <v>ÁREA METROPOLITANA</v>
          </cell>
        </row>
        <row r="200">
          <cell r="A200">
            <v>2611</v>
          </cell>
          <cell r="B200" t="str">
            <v>OPERACIÓN ÁREA METROPOLITANA</v>
          </cell>
        </row>
        <row r="201">
          <cell r="A201">
            <v>2612</v>
          </cell>
          <cell r="B201" t="str">
            <v>OPERACIÓN Y MTTO AYURA Y PB</v>
          </cell>
        </row>
        <row r="202">
          <cell r="A202">
            <v>2613</v>
          </cell>
          <cell r="B202" t="str">
            <v>CENTRO DE COSTO NO EXISTE!!!</v>
          </cell>
        </row>
        <row r="203">
          <cell r="A203">
            <v>2614</v>
          </cell>
          <cell r="B203" t="str">
            <v>ALMACEN ZONA METROPOLITANA</v>
          </cell>
        </row>
        <row r="204">
          <cell r="A204">
            <v>2615</v>
          </cell>
          <cell r="B204" t="str">
            <v>CENTRO DE COSTO NO EXISTE!!!</v>
          </cell>
        </row>
        <row r="205">
          <cell r="A205">
            <v>2616</v>
          </cell>
          <cell r="B205" t="str">
            <v>AREA SOC. ZONA METROPOLITANA</v>
          </cell>
        </row>
        <row r="206">
          <cell r="A206">
            <v>2617</v>
          </cell>
          <cell r="B206" t="str">
            <v>CENTRO DE COSTO NO EXISTE!!!</v>
          </cell>
        </row>
        <row r="207">
          <cell r="A207">
            <v>2618</v>
          </cell>
          <cell r="B207" t="str">
            <v>SOSTENIMIENTO VIAS ZONA METROP</v>
          </cell>
        </row>
        <row r="208">
          <cell r="A208">
            <v>2619</v>
          </cell>
          <cell r="B208" t="str">
            <v>SERVICIOS DE APOYO ÁREA METROPOLITANA</v>
          </cell>
        </row>
        <row r="209">
          <cell r="A209">
            <v>2620</v>
          </cell>
          <cell r="B209" t="str">
            <v>DEPTO ZONA GUADALUPE</v>
          </cell>
        </row>
        <row r="210">
          <cell r="A210">
            <v>2621</v>
          </cell>
          <cell r="B210" t="str">
            <v>OPERACION Y MANTTO GUADALUPE</v>
          </cell>
        </row>
        <row r="211">
          <cell r="A211">
            <v>2622</v>
          </cell>
          <cell r="B211" t="str">
            <v>SEVICIOS GRALES GUADALUPE</v>
          </cell>
        </row>
        <row r="212">
          <cell r="A212">
            <v>2623</v>
          </cell>
          <cell r="B212" t="str">
            <v>CASINO GUADALUPE</v>
          </cell>
        </row>
        <row r="213">
          <cell r="A213">
            <v>2624</v>
          </cell>
          <cell r="B213" t="str">
            <v>ALMACEN GUADALUPE</v>
          </cell>
        </row>
        <row r="214">
          <cell r="A214">
            <v>2625</v>
          </cell>
          <cell r="B214" t="str">
            <v>PROVEDURIA GUADALUPE</v>
          </cell>
        </row>
        <row r="215">
          <cell r="A215">
            <v>2626</v>
          </cell>
          <cell r="B215" t="str">
            <v>SERV. EXTERNO CASINO GUADALUPE</v>
          </cell>
        </row>
        <row r="216">
          <cell r="A216">
            <v>2627</v>
          </cell>
          <cell r="B216" t="str">
            <v>TALLER IND Y AUTOMOTORES GUAD</v>
          </cell>
        </row>
        <row r="217">
          <cell r="A217">
            <v>2628</v>
          </cell>
          <cell r="B217" t="str">
            <v>SOSTENIMIENTO VIAS GUADALUPE</v>
          </cell>
        </row>
        <row r="218">
          <cell r="A218">
            <v>2629</v>
          </cell>
          <cell r="B218" t="str">
            <v>SOSTENIMIENTO GRAL GUADALUPE</v>
          </cell>
        </row>
        <row r="219">
          <cell r="A219">
            <v>2630</v>
          </cell>
          <cell r="B219" t="str">
            <v>ÁREA GUATAPÉ</v>
          </cell>
        </row>
        <row r="220">
          <cell r="A220">
            <v>2631</v>
          </cell>
          <cell r="B220" t="str">
            <v>OPERACION GUATAPÉ</v>
          </cell>
        </row>
        <row r="221">
          <cell r="A221">
            <v>2632</v>
          </cell>
          <cell r="B221" t="str">
            <v>SERVICIOS GENERALES GUATAPÉ</v>
          </cell>
        </row>
        <row r="222">
          <cell r="A222">
            <v>2633</v>
          </cell>
          <cell r="B222" t="str">
            <v>SERVICIOS DE APOYO GUATAPÉ</v>
          </cell>
        </row>
        <row r="223">
          <cell r="A223">
            <v>2634</v>
          </cell>
          <cell r="B223" t="str">
            <v>ALMACEN GUATAPE</v>
          </cell>
        </row>
        <row r="224">
          <cell r="A224">
            <v>2635</v>
          </cell>
          <cell r="B224" t="str">
            <v>PROVEEDURIA GUATAPE</v>
          </cell>
        </row>
        <row r="225">
          <cell r="A225">
            <v>2636</v>
          </cell>
          <cell r="B225" t="str">
            <v>SERV. EXTERNO CASINO GUATAPE</v>
          </cell>
        </row>
        <row r="226">
          <cell r="A226">
            <v>2637</v>
          </cell>
          <cell r="B226" t="str">
            <v>TALLER IND Y AUTOMOTORES GUATAPE</v>
          </cell>
        </row>
        <row r="227">
          <cell r="A227">
            <v>2638</v>
          </cell>
          <cell r="B227" t="str">
            <v>SOSTENIMIENTO VIAS GUATAPE</v>
          </cell>
        </row>
        <row r="228">
          <cell r="A228">
            <v>2639</v>
          </cell>
          <cell r="B228" t="str">
            <v>MANTENIMIENTO ÁREA GUATAPÉ</v>
          </cell>
        </row>
        <row r="229">
          <cell r="A229">
            <v>2640</v>
          </cell>
          <cell r="B229" t="str">
            <v>SECCION CENTRAL PLAYAS</v>
          </cell>
        </row>
        <row r="230">
          <cell r="A230">
            <v>2641</v>
          </cell>
          <cell r="B230" t="str">
            <v>OPERACION Y MTTO PLAYAS</v>
          </cell>
        </row>
        <row r="231">
          <cell r="A231">
            <v>2642</v>
          </cell>
          <cell r="B231" t="str">
            <v>CENTRO DE COSTO NO EXISTE!!!</v>
          </cell>
        </row>
        <row r="232">
          <cell r="A232">
            <v>2643</v>
          </cell>
          <cell r="B232" t="str">
            <v>CASINO PLAYAS</v>
          </cell>
        </row>
        <row r="233">
          <cell r="A233">
            <v>2644</v>
          </cell>
          <cell r="B233" t="str">
            <v>ALMACEN PLAYAS</v>
          </cell>
        </row>
        <row r="234">
          <cell r="A234">
            <v>2645</v>
          </cell>
          <cell r="B234" t="str">
            <v>CENTRO DE COSTO NO EXISTE!!!</v>
          </cell>
        </row>
        <row r="235">
          <cell r="A235">
            <v>2646</v>
          </cell>
          <cell r="B235" t="str">
            <v>SERV. EXTERNO CASINO PLAYAS</v>
          </cell>
        </row>
        <row r="236">
          <cell r="A236">
            <v>2647</v>
          </cell>
          <cell r="B236" t="str">
            <v>TALLER IND Y AUTOMOTORES PLAYAS</v>
          </cell>
        </row>
        <row r="237">
          <cell r="A237">
            <v>2648</v>
          </cell>
          <cell r="B237" t="str">
            <v>CENTRO DE COSTO NO EXISTE!!!</v>
          </cell>
        </row>
        <row r="238">
          <cell r="A238">
            <v>2649</v>
          </cell>
          <cell r="B238" t="str">
            <v>SOSTTO GENERAL PLAYAS</v>
          </cell>
        </row>
        <row r="239">
          <cell r="A239">
            <v>2650</v>
          </cell>
          <cell r="B239" t="str">
            <v>ÁREA INGENIERÍA</v>
          </cell>
        </row>
        <row r="240">
          <cell r="A240">
            <v>2651</v>
          </cell>
          <cell r="B240" t="str">
            <v>CENTRO DE COSTO NO EXISTE!!!</v>
          </cell>
        </row>
        <row r="241">
          <cell r="A241">
            <v>2660</v>
          </cell>
          <cell r="B241" t="str">
            <v>OPERACIÓN CENTRO DE CONTROL</v>
          </cell>
        </row>
        <row r="242">
          <cell r="A242">
            <v>2661</v>
          </cell>
          <cell r="B242" t="str">
            <v>CENTRO DE COSTO NO EXISTE!!!</v>
          </cell>
        </row>
        <row r="243">
          <cell r="A243">
            <v>2670</v>
          </cell>
          <cell r="B243" t="str">
            <v>DEPTO MANNTTO CENTRO DE CONTROL</v>
          </cell>
        </row>
        <row r="244">
          <cell r="A244">
            <v>2671</v>
          </cell>
          <cell r="B244" t="str">
            <v>CENTRO DE COSTO NO EXISTE!!!</v>
          </cell>
        </row>
        <row r="245">
          <cell r="A245">
            <v>2680</v>
          </cell>
          <cell r="B245" t="str">
            <v>ÁREA GUADALUPE</v>
          </cell>
        </row>
        <row r="246">
          <cell r="A246">
            <v>2681</v>
          </cell>
          <cell r="B246" t="str">
            <v>OPERACION ÁREA GUADALUPE</v>
          </cell>
        </row>
        <row r="247">
          <cell r="A247">
            <v>2682</v>
          </cell>
          <cell r="B247" t="str">
            <v>MANTENIMIENTO ÁREA GUADALUPE</v>
          </cell>
        </row>
        <row r="248">
          <cell r="A248">
            <v>2683</v>
          </cell>
          <cell r="B248" t="str">
            <v>SERVICIOS DE APOYO ÁREA GUADALUPE</v>
          </cell>
        </row>
        <row r="249">
          <cell r="A249">
            <v>2684</v>
          </cell>
          <cell r="B249" t="str">
            <v>CASINOS GUADALUPE-PORCE</v>
          </cell>
        </row>
        <row r="250">
          <cell r="A250">
            <v>2685</v>
          </cell>
          <cell r="B250" t="str">
            <v>PROVEEDURIA GUADALUPE-PORCE</v>
          </cell>
        </row>
        <row r="251">
          <cell r="A251">
            <v>2686</v>
          </cell>
          <cell r="B251" t="str">
            <v>TALLER INDUSTRIAL GUADALUPE-PORCE</v>
          </cell>
        </row>
        <row r="252">
          <cell r="A252">
            <v>2687</v>
          </cell>
          <cell r="B252" t="str">
            <v>TALLER AUTOMOTORES Y TRANSPORTE G-PORCE</v>
          </cell>
        </row>
        <row r="253">
          <cell r="A253">
            <v>2688</v>
          </cell>
          <cell r="B253" t="str">
            <v>SOSTENIMIENTO INSTALACIONES G-PORCE</v>
          </cell>
        </row>
        <row r="254">
          <cell r="A254">
            <v>2689</v>
          </cell>
          <cell r="B254" t="str">
            <v>CENTRO DE COSTO NO EXISTE!!!</v>
          </cell>
        </row>
        <row r="255">
          <cell r="A255">
            <v>2690</v>
          </cell>
          <cell r="B255" t="str">
            <v>ÁREA LA SIERRA</v>
          </cell>
        </row>
        <row r="256">
          <cell r="A256">
            <v>2691</v>
          </cell>
          <cell r="B256" t="str">
            <v>CENTRO DE COSTO NO EXISTE!!!</v>
          </cell>
        </row>
        <row r="257">
          <cell r="A257">
            <v>2700</v>
          </cell>
          <cell r="B257" t="str">
            <v>SUBGERENCIA AMBIENTAL</v>
          </cell>
        </row>
        <row r="258">
          <cell r="A258">
            <v>2701</v>
          </cell>
          <cell r="B258" t="str">
            <v>CENTRO DE COSTO NO EXISTE!!!</v>
          </cell>
        </row>
        <row r="259">
          <cell r="A259">
            <v>2703</v>
          </cell>
          <cell r="B259" t="str">
            <v>ESTUDIOS FUENTES DE ABASTO</v>
          </cell>
        </row>
        <row r="260">
          <cell r="A260">
            <v>2704</v>
          </cell>
          <cell r="B260" t="str">
            <v>CENTRO DE COSTO NO EXISTE!!!</v>
          </cell>
        </row>
        <row r="261">
          <cell r="A261">
            <v>2709</v>
          </cell>
          <cell r="B261" t="str">
            <v>GESTIÓN SOCIAL PORCE II</v>
          </cell>
        </row>
        <row r="262">
          <cell r="A262">
            <v>2710</v>
          </cell>
          <cell r="B262" t="str">
            <v>DEPTO CUENCAS Y MONITOREO</v>
          </cell>
        </row>
        <row r="263">
          <cell r="A263">
            <v>2711</v>
          </cell>
          <cell r="B263" t="str">
            <v>CENTRO DE COSTO NO EXISTE!!!</v>
          </cell>
        </row>
        <row r="264">
          <cell r="A264">
            <v>2720</v>
          </cell>
          <cell r="B264" t="str">
            <v>DEPTO RELACIONES CON LA COMUNIDAD</v>
          </cell>
        </row>
        <row r="265">
          <cell r="A265">
            <v>2721</v>
          </cell>
          <cell r="B265" t="str">
            <v>CENTRO DE COSTO NO EXISTE!!!</v>
          </cell>
        </row>
        <row r="266">
          <cell r="A266">
            <v>2730</v>
          </cell>
          <cell r="B266" t="str">
            <v>ÁREA HIDROMETRIA E INSTRUMENTACIÓN</v>
          </cell>
        </row>
        <row r="267">
          <cell r="A267">
            <v>2731</v>
          </cell>
          <cell r="B267" t="str">
            <v>INVERSIÓN HIDROMETRIA INSTRUM.</v>
          </cell>
        </row>
        <row r="268">
          <cell r="A268">
            <v>2732</v>
          </cell>
          <cell r="B268" t="str">
            <v>SECCIÓN HIDROMETRIA</v>
          </cell>
        </row>
        <row r="269">
          <cell r="A269">
            <v>2733</v>
          </cell>
          <cell r="B269" t="str">
            <v>SECCIÓN HIDROMETRIA</v>
          </cell>
        </row>
        <row r="270">
          <cell r="A270">
            <v>2734</v>
          </cell>
          <cell r="B270" t="str">
            <v>CENTRO DE COSTO NO EXISTE!!!</v>
          </cell>
        </row>
        <row r="271">
          <cell r="A271">
            <v>2735</v>
          </cell>
          <cell r="B271" t="str">
            <v>ESTACIONES HIDROMETEOROLOGICAS</v>
          </cell>
        </row>
        <row r="272">
          <cell r="A272">
            <v>2736</v>
          </cell>
          <cell r="B272" t="str">
            <v>CENTRO DE COSTO NO EXISTE!!!</v>
          </cell>
        </row>
        <row r="273">
          <cell r="A273">
            <v>2799</v>
          </cell>
          <cell r="B273" t="str">
            <v>ANTICIPOS OTROS PROGRAMAS DE GENERACION</v>
          </cell>
        </row>
        <row r="274">
          <cell r="A274">
            <v>2800</v>
          </cell>
          <cell r="B274" t="str">
            <v>GERENCIA DEL GAS</v>
          </cell>
        </row>
        <row r="275">
          <cell r="A275">
            <v>2801</v>
          </cell>
          <cell r="B275" t="str">
            <v>UNIDAD GESTION ADMINISTRATIVA</v>
          </cell>
        </row>
        <row r="276">
          <cell r="A276">
            <v>2802</v>
          </cell>
          <cell r="B276" t="str">
            <v>UNIDAD PLANEACION GAS</v>
          </cell>
        </row>
        <row r="277">
          <cell r="A277">
            <v>2803</v>
          </cell>
          <cell r="B277" t="str">
            <v>DEPARTAMENTO TECNICO GAS</v>
          </cell>
        </row>
        <row r="278">
          <cell r="A278">
            <v>2804</v>
          </cell>
          <cell r="B278" t="str">
            <v>CENTRO DE COSTO NO EXISTE!!!</v>
          </cell>
        </row>
        <row r="279">
          <cell r="A279">
            <v>2805</v>
          </cell>
          <cell r="B279" t="str">
            <v>DEPTO CONSTRUCC Y OPERAC GAS</v>
          </cell>
        </row>
        <row r="280">
          <cell r="A280">
            <v>2806</v>
          </cell>
          <cell r="B280" t="str">
            <v>OPERAC Y MANTENIMIENTO GAS</v>
          </cell>
        </row>
        <row r="281">
          <cell r="A281">
            <v>2807</v>
          </cell>
          <cell r="B281" t="str">
            <v>DEPTO RELAC INSTITUCIONALES GAS</v>
          </cell>
        </row>
        <row r="282">
          <cell r="A282">
            <v>2708</v>
          </cell>
          <cell r="B282" t="str">
            <v>CENTRO DE COSTO NO EXISTE!!!</v>
          </cell>
        </row>
        <row r="283">
          <cell r="A283">
            <v>2809</v>
          </cell>
          <cell r="B283" t="str">
            <v>DEPTO MERCADEO GAS</v>
          </cell>
        </row>
        <row r="284">
          <cell r="A284">
            <v>2810</v>
          </cell>
          <cell r="B284" t="str">
            <v>DIVISION GASODUCTO</v>
          </cell>
        </row>
        <row r="285">
          <cell r="A285">
            <v>2811</v>
          </cell>
          <cell r="B285" t="str">
            <v>PLAN DESARROLLO INFORMATICO GAS</v>
          </cell>
        </row>
        <row r="286">
          <cell r="A286">
            <v>2812</v>
          </cell>
          <cell r="B286" t="str">
            <v>CENTRO DE COSTO NO EXISTE!!!</v>
          </cell>
        </row>
        <row r="287">
          <cell r="A287">
            <v>2820</v>
          </cell>
          <cell r="B287" t="str">
            <v>DIVISION TECNICA GAS</v>
          </cell>
        </row>
        <row r="288">
          <cell r="A288">
            <v>2821</v>
          </cell>
          <cell r="B288" t="str">
            <v>DEPTO CONSTRUCCIONES Y OPERACION GAS</v>
          </cell>
        </row>
        <row r="289">
          <cell r="A289">
            <v>2822</v>
          </cell>
          <cell r="B289" t="str">
            <v>CENTRO DE COSTO NO EXISTE!!!</v>
          </cell>
        </row>
        <row r="290">
          <cell r="A290">
            <v>2830</v>
          </cell>
          <cell r="B290" t="str">
            <v>DIVISION RELACIONES INSTITUCIONALES</v>
          </cell>
        </row>
        <row r="291">
          <cell r="A291">
            <v>2831</v>
          </cell>
          <cell r="B291" t="str">
            <v>DEPTO MERCADEO</v>
          </cell>
        </row>
        <row r="292">
          <cell r="A292">
            <v>2832</v>
          </cell>
          <cell r="B292" t="str">
            <v>CENTRO DE COSTO NO EXISTE!!!</v>
          </cell>
        </row>
        <row r="293">
          <cell r="A293">
            <v>3000</v>
          </cell>
          <cell r="B293" t="str">
            <v>GERENCIA DE TELECOMUNICACIONES</v>
          </cell>
        </row>
        <row r="294">
          <cell r="A294">
            <v>3001</v>
          </cell>
          <cell r="B294" t="str">
            <v>GRUPO PROYECTOS TELECOMUNICACIONES</v>
          </cell>
        </row>
        <row r="295">
          <cell r="A295">
            <v>3002</v>
          </cell>
          <cell r="B295" t="str">
            <v>PROYECTO BOGOTA</v>
          </cell>
        </row>
        <row r="296">
          <cell r="A296">
            <v>3003</v>
          </cell>
          <cell r="B296" t="str">
            <v>GRUPO SERVICIOS TELEVISIÓN</v>
          </cell>
        </row>
        <row r="297">
          <cell r="A297">
            <v>3004</v>
          </cell>
          <cell r="B297" t="str">
            <v>PROYECTO EDA</v>
          </cell>
        </row>
        <row r="298">
          <cell r="A298">
            <v>3005</v>
          </cell>
          <cell r="B298" t="str">
            <v>PLANEACION TELECOMUNICACIONES</v>
          </cell>
        </row>
        <row r="299">
          <cell r="A299">
            <v>3006</v>
          </cell>
          <cell r="B299" t="str">
            <v>SUBGERENCIA NUEVOS NEGOCIOS TELECOMUNICACIONES</v>
          </cell>
        </row>
        <row r="300">
          <cell r="A300">
            <v>3007</v>
          </cell>
          <cell r="B300" t="str">
            <v>CENTRO DE COSTO NO EXISTE!!!</v>
          </cell>
        </row>
        <row r="301">
          <cell r="A301">
            <v>3010</v>
          </cell>
          <cell r="B301" t="str">
            <v>UNID ANALISIS Y GEST TELECOMUNICACIONES</v>
          </cell>
        </row>
        <row r="302">
          <cell r="A302">
            <v>3011</v>
          </cell>
          <cell r="B302" t="str">
            <v>CENTRO DE COSTO NO EXISTE!!!</v>
          </cell>
        </row>
        <row r="303">
          <cell r="A303">
            <v>3020</v>
          </cell>
          <cell r="B303" t="str">
            <v>UNIDAD CAPACITACION TELECOMUNICACIONES</v>
          </cell>
        </row>
        <row r="304">
          <cell r="A304">
            <v>3021</v>
          </cell>
          <cell r="B304" t="str">
            <v>CULTURA DEL SERVICIO</v>
          </cell>
        </row>
        <row r="305">
          <cell r="A305">
            <v>3022</v>
          </cell>
          <cell r="B305" t="str">
            <v>CENTRO DE COSTO NO EXISTE!!!</v>
          </cell>
        </row>
        <row r="306">
          <cell r="A306">
            <v>3080</v>
          </cell>
          <cell r="B306" t="str">
            <v>ESTUDIOS PARA DIF. PLAN MERCADEO</v>
          </cell>
        </row>
        <row r="307">
          <cell r="A307">
            <v>3081</v>
          </cell>
          <cell r="B307" t="str">
            <v>ESTUDIO VR AGREGADO TELEMATICA</v>
          </cell>
        </row>
        <row r="308">
          <cell r="A308">
            <v>3082</v>
          </cell>
          <cell r="B308" t="str">
            <v>ESTUDIO PROYECTO SATELITAL SIMON BOLIVAR</v>
          </cell>
        </row>
        <row r="309">
          <cell r="A309">
            <v>3083</v>
          </cell>
          <cell r="B309" t="str">
            <v>TELEFONIA OTRAS CIUDADES</v>
          </cell>
        </row>
        <row r="310">
          <cell r="A310">
            <v>3084</v>
          </cell>
          <cell r="B310" t="str">
            <v>VALORACION EMPRESA TELS. BUCARAMANGA</v>
          </cell>
        </row>
        <row r="311">
          <cell r="A311">
            <v>3085</v>
          </cell>
          <cell r="B311" t="str">
            <v>CENTRO DE COSTO NO EXISTE!!!</v>
          </cell>
        </row>
        <row r="312">
          <cell r="A312">
            <v>3100</v>
          </cell>
          <cell r="B312" t="str">
            <v>DIV TECNICA REDES TELECOMUNICACIONES</v>
          </cell>
        </row>
        <row r="313">
          <cell r="A313">
            <v>3101</v>
          </cell>
          <cell r="B313" t="str">
            <v>CENTRO DE COSTO NO EXISTE!!!</v>
          </cell>
        </row>
        <row r="314">
          <cell r="A314">
            <v>3110</v>
          </cell>
          <cell r="B314" t="str">
            <v>DEPTO RED DE ABON TELECOMUNICACIONES</v>
          </cell>
        </row>
        <row r="315">
          <cell r="A315">
            <v>3111</v>
          </cell>
          <cell r="B315" t="str">
            <v>CENTRO DE COSTO NO EXISTE!!!</v>
          </cell>
        </row>
        <row r="316">
          <cell r="A316">
            <v>3120</v>
          </cell>
          <cell r="B316" t="str">
            <v>DEPTO CONTRATO TELECOMUNICACIONES</v>
          </cell>
        </row>
        <row r="317">
          <cell r="A317">
            <v>3121</v>
          </cell>
          <cell r="B317" t="str">
            <v>CENTRO DE COSTO NO EXISTE!!!</v>
          </cell>
        </row>
        <row r="318">
          <cell r="A318">
            <v>3130</v>
          </cell>
          <cell r="B318" t="str">
            <v>DPTO INTERVENTORIA TELECOMUNICACIONES</v>
          </cell>
        </row>
        <row r="319">
          <cell r="A319">
            <v>3131</v>
          </cell>
          <cell r="B319" t="str">
            <v>CENTRO DE COSTO NO EXISTE!!!</v>
          </cell>
        </row>
        <row r="320">
          <cell r="A320">
            <v>3140</v>
          </cell>
          <cell r="B320" t="str">
            <v>DEPTO REDES DE DATOS</v>
          </cell>
        </row>
        <row r="321">
          <cell r="A321">
            <v>3141</v>
          </cell>
          <cell r="B321" t="str">
            <v>CENTRO DE COSTO NO EXISTE!!!</v>
          </cell>
        </row>
        <row r="322">
          <cell r="A322">
            <v>3200</v>
          </cell>
          <cell r="B322" t="str">
            <v>DIV OPERATIVA REDES TELECOMUNICACIONES</v>
          </cell>
        </row>
        <row r="323">
          <cell r="A323">
            <v>3201</v>
          </cell>
          <cell r="B323" t="str">
            <v>CENTRO DE COSTO NO EXISTE!!!</v>
          </cell>
        </row>
        <row r="324">
          <cell r="A324">
            <v>3210</v>
          </cell>
          <cell r="B324" t="str">
            <v>DEPTO TELEFONOS PUBLICOS</v>
          </cell>
        </row>
        <row r="325">
          <cell r="A325">
            <v>3211</v>
          </cell>
          <cell r="B325" t="str">
            <v>SECC MTTO TELEFONOS PUBLICOS</v>
          </cell>
        </row>
        <row r="326">
          <cell r="A326">
            <v>3212</v>
          </cell>
          <cell r="B326" t="str">
            <v>CENTRO DE COSTO NO EXISTE!!!</v>
          </cell>
        </row>
        <row r="327">
          <cell r="A327">
            <v>3220</v>
          </cell>
          <cell r="B327" t="str">
            <v>DEPTO MTTO TELECOMUNICACIONES</v>
          </cell>
        </row>
        <row r="328">
          <cell r="A328">
            <v>3221</v>
          </cell>
          <cell r="B328" t="str">
            <v>SECC RECEPCION DANOS</v>
          </cell>
        </row>
        <row r="329">
          <cell r="A329">
            <v>3222</v>
          </cell>
          <cell r="B329" t="str">
            <v>SECC DANOS ZONA NORTE</v>
          </cell>
        </row>
        <row r="330">
          <cell r="A330">
            <v>3223</v>
          </cell>
          <cell r="B330" t="str">
            <v>SECCION DANOS ZONA SUR</v>
          </cell>
        </row>
        <row r="331">
          <cell r="A331">
            <v>3224</v>
          </cell>
          <cell r="B331" t="str">
            <v>SECC DANOS ZONA CENTRO</v>
          </cell>
        </row>
        <row r="332">
          <cell r="A332">
            <v>3225</v>
          </cell>
          <cell r="B332" t="str">
            <v>RURAL Y MONOCANAL</v>
          </cell>
        </row>
        <row r="333">
          <cell r="A333">
            <v>3226</v>
          </cell>
          <cell r="B333" t="str">
            <v>CENTRO DE COSTO NO EXISTE!!!</v>
          </cell>
        </row>
        <row r="334">
          <cell r="A334">
            <v>3230</v>
          </cell>
          <cell r="B334" t="str">
            <v>DEPTO MTTO REDES DE  DATOS</v>
          </cell>
        </row>
        <row r="335">
          <cell r="A335">
            <v>3231</v>
          </cell>
          <cell r="B335" t="str">
            <v>CENTRO DE COSTO NO EXISTE!!!</v>
          </cell>
        </row>
        <row r="336">
          <cell r="A336">
            <v>3240</v>
          </cell>
          <cell r="B336" t="str">
            <v>DPTO MANTTO PREVENTIVO TELECOM</v>
          </cell>
        </row>
        <row r="337">
          <cell r="A337">
            <v>3241</v>
          </cell>
          <cell r="B337" t="str">
            <v>PRESURIZACION</v>
          </cell>
        </row>
        <row r="338">
          <cell r="A338">
            <v>3242</v>
          </cell>
          <cell r="B338" t="str">
            <v>MANTENIMIENTO PREVENTIVO</v>
          </cell>
        </row>
        <row r="339">
          <cell r="A339">
            <v>3243</v>
          </cell>
          <cell r="B339" t="str">
            <v>CENTRO DE COSTO NO EXISTE!!!</v>
          </cell>
        </row>
        <row r="340">
          <cell r="A340">
            <v>3250</v>
          </cell>
          <cell r="B340" t="str">
            <v>DEPTO MTTO TELEFONOS ORIENTE</v>
          </cell>
        </row>
        <row r="341">
          <cell r="A341">
            <v>3251</v>
          </cell>
          <cell r="B341" t="str">
            <v>CENTRO DE COSTO NO EXISTE!!!</v>
          </cell>
        </row>
        <row r="342">
          <cell r="A342">
            <v>3300</v>
          </cell>
          <cell r="B342" t="str">
            <v>DIV TECNICA EQ TELECOMUNICACIONES</v>
          </cell>
        </row>
        <row r="343">
          <cell r="A343">
            <v>3301</v>
          </cell>
          <cell r="B343" t="str">
            <v>CENTRO DE COSTO NO EXISTE!!!</v>
          </cell>
        </row>
        <row r="344">
          <cell r="A344">
            <v>3310</v>
          </cell>
          <cell r="B344" t="str">
            <v>DEPTO DE TRANSMISION</v>
          </cell>
        </row>
        <row r="345">
          <cell r="A345">
            <v>3311</v>
          </cell>
          <cell r="B345" t="str">
            <v>CENTRO DE COSTO NO EXISTE!!!</v>
          </cell>
        </row>
        <row r="346">
          <cell r="A346">
            <v>3320</v>
          </cell>
          <cell r="B346" t="str">
            <v>DEPTO DE CONMUTACION</v>
          </cell>
        </row>
        <row r="347">
          <cell r="A347">
            <v>3321</v>
          </cell>
          <cell r="B347" t="str">
            <v>CENTRO DE COSTO NO EXISTE!!!</v>
          </cell>
        </row>
        <row r="348">
          <cell r="A348">
            <v>3400</v>
          </cell>
          <cell r="B348" t="str">
            <v>DIV OPERATIVA EQ TELECOMUNICACIONES</v>
          </cell>
        </row>
        <row r="349">
          <cell r="A349">
            <v>3401</v>
          </cell>
          <cell r="B349" t="str">
            <v>CENTRO DE COSTO NO EXISTE!!!</v>
          </cell>
        </row>
        <row r="350">
          <cell r="A350">
            <v>3410</v>
          </cell>
          <cell r="B350" t="str">
            <v>DPTO CENTRALES TELECOMUNICACIONES</v>
          </cell>
        </row>
        <row r="351">
          <cell r="A351">
            <v>3411</v>
          </cell>
          <cell r="B351" t="str">
            <v>SISTEMA AGF</v>
          </cell>
        </row>
        <row r="352">
          <cell r="A352">
            <v>3412</v>
          </cell>
          <cell r="B352" t="str">
            <v>SISTEMA ARF</v>
          </cell>
        </row>
        <row r="353">
          <cell r="A353">
            <v>3413</v>
          </cell>
          <cell r="B353" t="str">
            <v>SISTEMA PENTACONTA</v>
          </cell>
        </row>
        <row r="354">
          <cell r="A354">
            <v>3414</v>
          </cell>
          <cell r="B354" t="str">
            <v>SISTEMA ELECTRONICO</v>
          </cell>
        </row>
        <row r="355">
          <cell r="A355">
            <v>3415</v>
          </cell>
          <cell r="B355" t="str">
            <v>SERVICIOS AUXILIARES</v>
          </cell>
        </row>
        <row r="356">
          <cell r="A356">
            <v>3416</v>
          </cell>
          <cell r="B356" t="str">
            <v>EQUIPO ORIENTE</v>
          </cell>
        </row>
        <row r="357">
          <cell r="A357">
            <v>3417</v>
          </cell>
          <cell r="B357" t="str">
            <v>SISTEMA PCM</v>
          </cell>
        </row>
        <row r="358">
          <cell r="A358">
            <v>3418</v>
          </cell>
          <cell r="B358" t="str">
            <v>UHF</v>
          </cell>
        </row>
        <row r="359">
          <cell r="A359">
            <v>3419</v>
          </cell>
          <cell r="B359" t="str">
            <v>CENTRO DE COSTO NO EXISTE!!!</v>
          </cell>
        </row>
        <row r="360">
          <cell r="A360">
            <v>3420</v>
          </cell>
          <cell r="B360" t="str">
            <v>DPTO RADIOCOMUNICACIONES</v>
          </cell>
        </row>
        <row r="361">
          <cell r="A361">
            <v>3421</v>
          </cell>
          <cell r="B361" t="str">
            <v>SECCION MICROONDAS</v>
          </cell>
        </row>
        <row r="362">
          <cell r="A362">
            <v>3422</v>
          </cell>
          <cell r="B362" t="str">
            <v>SECCION VHF</v>
          </cell>
        </row>
        <row r="363">
          <cell r="A363">
            <v>3423</v>
          </cell>
          <cell r="B363" t="str">
            <v>SECCION TRUNKING</v>
          </cell>
        </row>
        <row r="364">
          <cell r="A364">
            <v>3424</v>
          </cell>
          <cell r="B364" t="str">
            <v>CENTRO DE COSTO NO EXISTE!!!</v>
          </cell>
        </row>
        <row r="365">
          <cell r="A365">
            <v>3430</v>
          </cell>
          <cell r="B365" t="str">
            <v>DEPTO EQ AUXILIARES TELECOMUNICACIONES</v>
          </cell>
        </row>
        <row r="366">
          <cell r="A366">
            <v>3431</v>
          </cell>
          <cell r="B366" t="str">
            <v>LABORATORIO</v>
          </cell>
        </row>
        <row r="367">
          <cell r="A367">
            <v>3432</v>
          </cell>
          <cell r="B367" t="str">
            <v>SUMINISTRO DE ENERGIA</v>
          </cell>
        </row>
        <row r="368">
          <cell r="A368">
            <v>3433</v>
          </cell>
          <cell r="B368" t="str">
            <v>AIRES ACONDICIONADOS</v>
          </cell>
        </row>
        <row r="369">
          <cell r="A369">
            <v>3434</v>
          </cell>
          <cell r="B369" t="str">
            <v>EQUIPO DE FUERZA Y RADIO</v>
          </cell>
        </row>
        <row r="370">
          <cell r="A370">
            <v>3435</v>
          </cell>
          <cell r="B370" t="str">
            <v>CENTRO DE COSTO NO EXISTE!!!</v>
          </cell>
        </row>
        <row r="371">
          <cell r="A371">
            <v>3500</v>
          </cell>
          <cell r="B371" t="str">
            <v>DIV. COMERCIALIZACION TELECOMUNIC.</v>
          </cell>
        </row>
        <row r="372">
          <cell r="A372">
            <v>3501</v>
          </cell>
          <cell r="B372" t="str">
            <v>CENTRO DE COSTO NO EXISTE!!!</v>
          </cell>
        </row>
        <row r="373">
          <cell r="A373">
            <v>3510</v>
          </cell>
          <cell r="B373" t="str">
            <v>DEPTO MERCADEO TELECOMUNICACIONES</v>
          </cell>
        </row>
        <row r="374">
          <cell r="A374">
            <v>3511</v>
          </cell>
          <cell r="B374" t="str">
            <v>CENTRO DE COSTO NO EXISTE!!!</v>
          </cell>
        </row>
        <row r="375">
          <cell r="A375">
            <v>3520</v>
          </cell>
          <cell r="B375" t="str">
            <v>DEPTO.SERVICIOS TELECOMUNICACIONES</v>
          </cell>
        </row>
        <row r="376">
          <cell r="A376">
            <v>3521</v>
          </cell>
          <cell r="B376" t="str">
            <v>SECCION ASIGNACIONES</v>
          </cell>
        </row>
        <row r="377">
          <cell r="A377">
            <v>3522</v>
          </cell>
          <cell r="B377" t="str">
            <v>SECCION INSTALACIONES</v>
          </cell>
        </row>
        <row r="378">
          <cell r="A378">
            <v>3523</v>
          </cell>
          <cell r="B378" t="str">
            <v>CENTRO DE COSTO NO EXISTE!!!</v>
          </cell>
        </row>
        <row r="379">
          <cell r="A379">
            <v>3524</v>
          </cell>
          <cell r="B379" t="str">
            <v>SECCION CLIENTES</v>
          </cell>
        </row>
        <row r="380">
          <cell r="A380">
            <v>3525</v>
          </cell>
          <cell r="B380" t="str">
            <v>CENTRO DE COSTO NO EXISTE!!!</v>
          </cell>
        </row>
        <row r="381">
          <cell r="A381">
            <v>3540</v>
          </cell>
          <cell r="B381" t="str">
            <v>DPTO VENTAS Y CLIENTES TELECOMUNICA.</v>
          </cell>
        </row>
        <row r="382">
          <cell r="A382">
            <v>3541</v>
          </cell>
          <cell r="B382" t="str">
            <v>CENTRO DE COSTO NO EXISTE!!!</v>
          </cell>
        </row>
        <row r="383">
          <cell r="A383">
            <v>3543</v>
          </cell>
          <cell r="B383" t="str">
            <v>SECCION INFORMACION</v>
          </cell>
        </row>
        <row r="384">
          <cell r="A384">
            <v>3544</v>
          </cell>
          <cell r="B384" t="str">
            <v>CENTRO DE COSTO NO EXISTE!!!</v>
          </cell>
        </row>
        <row r="385">
          <cell r="A385">
            <v>3550</v>
          </cell>
          <cell r="B385" t="str">
            <v>DEPARTAMENTO ATENCION CLIENTES</v>
          </cell>
        </row>
        <row r="386">
          <cell r="A386">
            <v>3551</v>
          </cell>
          <cell r="B386" t="str">
            <v>CLIENTES</v>
          </cell>
        </row>
        <row r="387">
          <cell r="A387">
            <v>3552</v>
          </cell>
          <cell r="B387" t="str">
            <v>CENTRO DE COSTO NO EXISTE!!!</v>
          </cell>
        </row>
        <row r="388">
          <cell r="A388">
            <v>3554</v>
          </cell>
          <cell r="B388" t="str">
            <v>SECCION CLIENTES TELECOMUNICACIONES</v>
          </cell>
        </row>
        <row r="389">
          <cell r="A389">
            <v>3555</v>
          </cell>
          <cell r="B389" t="str">
            <v>CENTRO DE COSTO NO EXISTE!!!</v>
          </cell>
        </row>
        <row r="390">
          <cell r="A390">
            <v>3600</v>
          </cell>
          <cell r="B390" t="str">
            <v>DIVISION SERV. ESPEC. TELECOMUNICA.</v>
          </cell>
        </row>
        <row r="391">
          <cell r="A391">
            <v>3601</v>
          </cell>
          <cell r="B391" t="str">
            <v>CENTRO DE COSTO NO EXISTE!!!</v>
          </cell>
        </row>
        <row r="392">
          <cell r="A392">
            <v>3610</v>
          </cell>
          <cell r="B392" t="str">
            <v>DEPARTAMENTO DE DATOS</v>
          </cell>
        </row>
        <row r="393">
          <cell r="A393">
            <v>3611</v>
          </cell>
          <cell r="B393" t="str">
            <v>TECNICA DE DATOS</v>
          </cell>
        </row>
        <row r="394">
          <cell r="A394">
            <v>3612</v>
          </cell>
          <cell r="B394" t="str">
            <v>MANTENIMIENTO DATOS</v>
          </cell>
        </row>
        <row r="395">
          <cell r="A395">
            <v>3613</v>
          </cell>
          <cell r="B395" t="str">
            <v>CENTRO DE COSTO NO EXISTE!!!</v>
          </cell>
        </row>
        <row r="396">
          <cell r="A396">
            <v>3620</v>
          </cell>
          <cell r="B396" t="str">
            <v>DPTO. RADIO Y VIDEO</v>
          </cell>
        </row>
        <row r="397">
          <cell r="A397">
            <v>3621</v>
          </cell>
          <cell r="B397" t="str">
            <v>TECNICO RADIO Y VIDEO</v>
          </cell>
        </row>
        <row r="398">
          <cell r="A398">
            <v>3622</v>
          </cell>
          <cell r="B398" t="str">
            <v>MANTENIMIENTO RADIO</v>
          </cell>
        </row>
        <row r="399">
          <cell r="A399">
            <v>3623</v>
          </cell>
          <cell r="B399" t="str">
            <v>MANTENIMIENTO TRUNKING</v>
          </cell>
        </row>
        <row r="400">
          <cell r="A400">
            <v>3624</v>
          </cell>
          <cell r="B400" t="str">
            <v>MANTENIMIENTO VIDEO</v>
          </cell>
        </row>
        <row r="401">
          <cell r="A401">
            <v>3625</v>
          </cell>
          <cell r="B401" t="str">
            <v>INFORMACION BUSCAPERSONAS</v>
          </cell>
        </row>
        <row r="402">
          <cell r="A402">
            <v>3626</v>
          </cell>
          <cell r="B402" t="str">
            <v>CENTRO DE COSTO NO EXISTE!!!</v>
          </cell>
        </row>
        <row r="403">
          <cell r="A403">
            <v>3630</v>
          </cell>
          <cell r="B403" t="str">
            <v>DPTO. ATENCION EMPRESARIAL</v>
          </cell>
        </row>
        <row r="404">
          <cell r="A404">
            <v>3631</v>
          </cell>
          <cell r="B404" t="str">
            <v>CENTRO DE COSTO NO EXISTE!!!</v>
          </cell>
        </row>
        <row r="405">
          <cell r="A405">
            <v>3640</v>
          </cell>
          <cell r="B405" t="str">
            <v>DEPARTAMENTO MERCADEO</v>
          </cell>
        </row>
        <row r="406">
          <cell r="A406">
            <v>3641</v>
          </cell>
          <cell r="B406" t="str">
            <v>CENTRO DE COSTO NO EXISTE!!!</v>
          </cell>
        </row>
        <row r="407">
          <cell r="A407">
            <v>3999</v>
          </cell>
          <cell r="B407" t="str">
            <v>GASTOS GENERALES DE OPERACION</v>
          </cell>
        </row>
        <row r="408">
          <cell r="A408">
            <v>4000</v>
          </cell>
          <cell r="B408" t="str">
            <v>GERENCIA DE FINANZAS</v>
          </cell>
        </row>
        <row r="409">
          <cell r="A409">
            <v>4001</v>
          </cell>
          <cell r="B409" t="str">
            <v>AREA DE INVESTIGACIONES ECONOMICAS</v>
          </cell>
        </row>
        <row r="410">
          <cell r="A410">
            <v>4002</v>
          </cell>
          <cell r="B410" t="str">
            <v>SISTEMA DE INFORMAC FINANCIERA</v>
          </cell>
        </row>
        <row r="411">
          <cell r="A411">
            <v>4003</v>
          </cell>
          <cell r="B411" t="str">
            <v>CENTRO DE COSTO NO EXISTE!!!</v>
          </cell>
        </row>
        <row r="412">
          <cell r="A412">
            <v>4010</v>
          </cell>
          <cell r="B412" t="str">
            <v>AREA ADMON DE RIESGOS Y SEGUROS</v>
          </cell>
        </row>
        <row r="413">
          <cell r="A413">
            <v>4011</v>
          </cell>
          <cell r="B413" t="str">
            <v>CENTRO DE COSTO NO EXISTE!!!</v>
          </cell>
        </row>
        <row r="414">
          <cell r="A414">
            <v>4020</v>
          </cell>
          <cell r="B414" t="str">
            <v>AREA DE GESTION FINANCIERA</v>
          </cell>
        </row>
        <row r="415">
          <cell r="A415">
            <v>4021</v>
          </cell>
          <cell r="B415" t="str">
            <v>CENTRO DE COSTO NO EXISTE!!!</v>
          </cell>
        </row>
        <row r="416">
          <cell r="A416">
            <v>4100</v>
          </cell>
          <cell r="B416" t="str">
            <v>DIVISION TESORERIA</v>
          </cell>
        </row>
        <row r="417">
          <cell r="A417">
            <v>4101</v>
          </cell>
          <cell r="B417" t="str">
            <v>SECCION COBRANZAS</v>
          </cell>
        </row>
        <row r="418">
          <cell r="A418">
            <v>4102</v>
          </cell>
          <cell r="B418" t="str">
            <v>CENTRO DE COSTO NO EXISTE!!!</v>
          </cell>
        </row>
        <row r="419">
          <cell r="A419">
            <v>4110</v>
          </cell>
          <cell r="B419" t="str">
            <v>DEPTO MONEDA EXTRANJERA</v>
          </cell>
        </row>
        <row r="420">
          <cell r="A420">
            <v>4111</v>
          </cell>
          <cell r="B420" t="str">
            <v>CENTRO DE COSTO NO EXISTE!!!</v>
          </cell>
        </row>
        <row r="421">
          <cell r="A421">
            <v>4120</v>
          </cell>
          <cell r="B421" t="str">
            <v>DEPARTAMENTO CAJA</v>
          </cell>
        </row>
        <row r="422">
          <cell r="A422">
            <v>4121</v>
          </cell>
          <cell r="B422" t="str">
            <v>CENTRO DE COSTO NO EXISTE!!!</v>
          </cell>
        </row>
        <row r="423">
          <cell r="A423">
            <v>4130</v>
          </cell>
          <cell r="B423" t="str">
            <v>DEPTO MONEDA NACIONAL</v>
          </cell>
        </row>
        <row r="424">
          <cell r="A424">
            <v>4131</v>
          </cell>
          <cell r="B424" t="str">
            <v>CENTRO DE COSTO NO EXISTE!!!</v>
          </cell>
        </row>
        <row r="425">
          <cell r="A425">
            <v>4300</v>
          </cell>
          <cell r="B425" t="str">
            <v>SUBGERENCIA CONTADURÍA</v>
          </cell>
        </row>
        <row r="426">
          <cell r="A426">
            <v>4301</v>
          </cell>
          <cell r="B426" t="str">
            <v>GRUPO DE IMPUESTOS</v>
          </cell>
        </row>
        <row r="427">
          <cell r="A427">
            <v>4302</v>
          </cell>
          <cell r="B427" t="str">
            <v>CENTRO DE COSTO NO EXISTE!!!</v>
          </cell>
        </row>
        <row r="428">
          <cell r="A428">
            <v>4310</v>
          </cell>
          <cell r="B428" t="str">
            <v>DEPTO DE CONTABILIDAD FINANCIE</v>
          </cell>
        </row>
        <row r="429">
          <cell r="A429">
            <v>4311</v>
          </cell>
          <cell r="B429" t="str">
            <v>CENTRO DE COSTO NO EXISTE!!!</v>
          </cell>
        </row>
        <row r="430">
          <cell r="A430">
            <v>4320</v>
          </cell>
          <cell r="B430" t="str">
            <v>DEPTO CONTABILIDAD ACTIVOS FIJOS</v>
          </cell>
        </row>
        <row r="431">
          <cell r="A431">
            <v>4321</v>
          </cell>
          <cell r="B431" t="str">
            <v>CENTRO DE COSTO NO EXISTE!!!</v>
          </cell>
        </row>
        <row r="432">
          <cell r="A432">
            <v>4330</v>
          </cell>
          <cell r="B432" t="str">
            <v>DEPTO CONTABILIDAD COMERCIAL</v>
          </cell>
        </row>
        <row r="433">
          <cell r="A433">
            <v>4331</v>
          </cell>
          <cell r="B433" t="str">
            <v>CENTRO DE COSTO NO EXISTE!!!</v>
          </cell>
        </row>
        <row r="434">
          <cell r="A434">
            <v>4400</v>
          </cell>
          <cell r="B434" t="str">
            <v>DIVISION SUSCRIPTORES</v>
          </cell>
        </row>
        <row r="435">
          <cell r="A435">
            <v>4401</v>
          </cell>
          <cell r="B435" t="str">
            <v>SECCION SERVICIOS INTERNOS</v>
          </cell>
        </row>
        <row r="436">
          <cell r="A436">
            <v>4402</v>
          </cell>
          <cell r="B436" t="str">
            <v>UNIDAD PROYECCION Y SOPORTE</v>
          </cell>
        </row>
        <row r="437">
          <cell r="A437">
            <v>4410</v>
          </cell>
          <cell r="B437" t="str">
            <v>DEPARTAMENTO DE FACTURACION</v>
          </cell>
        </row>
        <row r="438">
          <cell r="A438">
            <v>4403</v>
          </cell>
          <cell r="B438" t="str">
            <v>CENTRO DE COSTO NO EXISTE!!!</v>
          </cell>
        </row>
        <row r="439">
          <cell r="A439">
            <v>4411</v>
          </cell>
          <cell r="B439" t="str">
            <v>SECCION ANALISIS FACTURACION</v>
          </cell>
        </row>
        <row r="440">
          <cell r="A440">
            <v>4412</v>
          </cell>
          <cell r="B440" t="str">
            <v>SECCION CONTROL FACTURACION</v>
          </cell>
        </row>
        <row r="441">
          <cell r="A441">
            <v>4413</v>
          </cell>
          <cell r="B441" t="str">
            <v>SECCION LECTURA Y REPARTICION</v>
          </cell>
        </row>
        <row r="442">
          <cell r="A442">
            <v>4414</v>
          </cell>
          <cell r="B442" t="str">
            <v>CENTRO DE COSTO NO EXISTE!!!</v>
          </cell>
        </row>
        <row r="443">
          <cell r="A443">
            <v>4420</v>
          </cell>
          <cell r="B443" t="str">
            <v>DEPTO. ATENCION AL CLIENTE</v>
          </cell>
        </row>
        <row r="444">
          <cell r="A444">
            <v>4421</v>
          </cell>
          <cell r="B444" t="str">
            <v>SECCION EDUCACION AL CLIENTE</v>
          </cell>
        </row>
        <row r="445">
          <cell r="A445">
            <v>4422</v>
          </cell>
          <cell r="B445" t="str">
            <v>SEC RECLAMACIONES Y SOLICITUDES</v>
          </cell>
        </row>
        <row r="446">
          <cell r="A446">
            <v>4423</v>
          </cell>
          <cell r="B446" t="str">
            <v>SECCION GESTION CARTERA</v>
          </cell>
        </row>
        <row r="447">
          <cell r="A447">
            <v>4424</v>
          </cell>
          <cell r="B447" t="str">
            <v>CENTRO DE COSTO NO EXISTE!!!</v>
          </cell>
        </row>
        <row r="448">
          <cell r="A448">
            <v>4430</v>
          </cell>
          <cell r="B448" t="str">
            <v>DEPTO. OPERATIVO</v>
          </cell>
        </row>
        <row r="449">
          <cell r="A449">
            <v>4431</v>
          </cell>
          <cell r="B449" t="str">
            <v>SECCION CONTROL INSTALACIONES</v>
          </cell>
        </row>
        <row r="450">
          <cell r="A450">
            <v>4432</v>
          </cell>
          <cell r="B450" t="str">
            <v>SECCION CORTE Y RECONEXION</v>
          </cell>
        </row>
        <row r="451">
          <cell r="A451">
            <v>4433</v>
          </cell>
          <cell r="B451" t="str">
            <v>SECCION LECTURA Y REPARTICION</v>
          </cell>
        </row>
        <row r="452">
          <cell r="A452">
            <v>4434</v>
          </cell>
          <cell r="B452" t="str">
            <v>CENTRO DE COSTO NO EXISTE!!!</v>
          </cell>
        </row>
        <row r="453">
          <cell r="A453">
            <v>4435</v>
          </cell>
          <cell r="B453" t="str">
            <v>GRUPO TRANSPORTE</v>
          </cell>
        </row>
        <row r="454">
          <cell r="A454">
            <v>4436</v>
          </cell>
          <cell r="B454" t="str">
            <v>CENTRO DE COSTO NO EXISTE!!!</v>
          </cell>
        </row>
        <row r="455">
          <cell r="A455">
            <v>4500</v>
          </cell>
          <cell r="B455" t="str">
            <v>DIVISION PROGRAMACION FINANCIERA</v>
          </cell>
        </row>
        <row r="456">
          <cell r="A456">
            <v>4501</v>
          </cell>
          <cell r="B456" t="str">
            <v>UNID DE ANALISIS Y G FRA</v>
          </cell>
        </row>
        <row r="457">
          <cell r="A457">
            <v>4502</v>
          </cell>
          <cell r="B457" t="str">
            <v>GRUPO PRESUPUESTO</v>
          </cell>
        </row>
        <row r="458">
          <cell r="A458">
            <v>4503</v>
          </cell>
          <cell r="B458" t="str">
            <v>CENTRO DE COSTO NO EXISTE!!!</v>
          </cell>
        </row>
        <row r="459">
          <cell r="A459">
            <v>4510</v>
          </cell>
          <cell r="B459" t="str">
            <v>DEPTO FINANCIERO ACUED Y ALCANTARILLADO</v>
          </cell>
        </row>
        <row r="460">
          <cell r="A460">
            <v>4511</v>
          </cell>
          <cell r="B460" t="str">
            <v>CENTRO DE COSTO NO EXISTE!!!</v>
          </cell>
        </row>
        <row r="461">
          <cell r="A461">
            <v>4520</v>
          </cell>
          <cell r="B461" t="str">
            <v>DEPTO FINANCIERO GENERACION ENERGIA</v>
          </cell>
        </row>
        <row r="462">
          <cell r="A462">
            <v>4521</v>
          </cell>
          <cell r="B462" t="str">
            <v>CENTRO DE COSTO NO EXISTE!!!</v>
          </cell>
        </row>
        <row r="463">
          <cell r="A463">
            <v>4530</v>
          </cell>
          <cell r="B463" t="str">
            <v>DPTO FCIERO TELECOMUNICACIONES</v>
          </cell>
        </row>
        <row r="464">
          <cell r="A464">
            <v>4531</v>
          </cell>
          <cell r="B464" t="str">
            <v>CENTRO DE COSTO NO EXISTE!!!</v>
          </cell>
        </row>
        <row r="465">
          <cell r="A465">
            <v>4540</v>
          </cell>
          <cell r="B465" t="str">
            <v>DPTO PROGRAMACION Y CONTR. PPTAL</v>
          </cell>
        </row>
        <row r="466">
          <cell r="A466">
            <v>4541</v>
          </cell>
          <cell r="B466" t="str">
            <v>CENTRO DE COSTO NO EXISTE!!!</v>
          </cell>
        </row>
        <row r="467">
          <cell r="A467">
            <v>4550</v>
          </cell>
          <cell r="B467" t="str">
            <v>DEPTO, FCIERO DISTRIBUCION ENERGETICA</v>
          </cell>
        </row>
        <row r="468">
          <cell r="A468">
            <v>4551</v>
          </cell>
          <cell r="B468" t="str">
            <v>CENTRO DE COSTO NO EXISTE!!!</v>
          </cell>
        </row>
        <row r="469">
          <cell r="A469">
            <v>4600</v>
          </cell>
          <cell r="B469" t="str">
            <v>DIVISION COMERCIAL</v>
          </cell>
        </row>
        <row r="470">
          <cell r="A470">
            <v>4601</v>
          </cell>
          <cell r="B470" t="str">
            <v>CENTRO DE COSTO NO EXISTE!!!</v>
          </cell>
        </row>
        <row r="471">
          <cell r="A471">
            <v>4610</v>
          </cell>
          <cell r="B471" t="str">
            <v>DEPARTAMENTO COMPRAS NACIONALES</v>
          </cell>
        </row>
        <row r="472">
          <cell r="A472">
            <v>4611</v>
          </cell>
          <cell r="B472" t="str">
            <v>SECCIÓN COMPRAS INMEDIATAS</v>
          </cell>
        </row>
        <row r="473">
          <cell r="A473">
            <v>4612</v>
          </cell>
          <cell r="B473" t="str">
            <v>CENTRO DE COSTO NO EXISTE!!!</v>
          </cell>
        </row>
        <row r="474">
          <cell r="A474">
            <v>4620</v>
          </cell>
          <cell r="B474" t="str">
            <v>DEPARTAMENTO DE IMPORTACIONES</v>
          </cell>
        </row>
        <row r="475">
          <cell r="A475">
            <v>4621</v>
          </cell>
          <cell r="B475" t="str">
            <v>CENTRO DE COSTO NO EXISTE!!!</v>
          </cell>
        </row>
        <row r="476">
          <cell r="A476">
            <v>4700</v>
          </cell>
          <cell r="B476" t="str">
            <v>GERENCIA COMERCIAL</v>
          </cell>
        </row>
        <row r="477">
          <cell r="A477">
            <v>4701</v>
          </cell>
          <cell r="B477" t="str">
            <v>CENTRO DE COSTO NO EXISTE!!!</v>
          </cell>
        </row>
        <row r="478">
          <cell r="A478">
            <v>5000</v>
          </cell>
          <cell r="B478" t="str">
            <v>DIRECCIÓN  ADMINISTRATIVA</v>
          </cell>
        </row>
        <row r="479">
          <cell r="A479">
            <v>5001</v>
          </cell>
          <cell r="B479" t="str">
            <v>DIVISION ADMINISTRACION EDIFICIO</v>
          </cell>
        </row>
        <row r="480">
          <cell r="A480">
            <v>5002</v>
          </cell>
          <cell r="B480" t="str">
            <v>GRUPO GESTION ADMON. EDIFICIO EE.PP.M.</v>
          </cell>
        </row>
        <row r="481">
          <cell r="A481">
            <v>5003</v>
          </cell>
          <cell r="B481" t="str">
            <v>CENTRO DE COSTO NO EXISTE!!!</v>
          </cell>
        </row>
        <row r="482">
          <cell r="A482">
            <v>5020</v>
          </cell>
          <cell r="B482" t="str">
            <v>UNIDAD CONTROL ADMINISTRATIVO</v>
          </cell>
        </row>
        <row r="483">
          <cell r="A483">
            <v>5021</v>
          </cell>
          <cell r="B483" t="str">
            <v>GRUPO SERVICIOS DE TRANSPORTE</v>
          </cell>
        </row>
        <row r="484">
          <cell r="A484">
            <v>5022</v>
          </cell>
          <cell r="B484" t="str">
            <v>OFICINA DE QUEJAS</v>
          </cell>
        </row>
        <row r="485">
          <cell r="A485">
            <v>5025</v>
          </cell>
          <cell r="B485" t="str">
            <v>PROYECTO ABACO</v>
          </cell>
        </row>
        <row r="486">
          <cell r="A486">
            <v>5023</v>
          </cell>
          <cell r="B486" t="str">
            <v>CENTRO DE COSTO NO EXISTE!!!</v>
          </cell>
        </row>
        <row r="487">
          <cell r="A487">
            <v>5026</v>
          </cell>
          <cell r="B487" t="str">
            <v>P. U. C. Y AMBIENTAL</v>
          </cell>
        </row>
        <row r="488">
          <cell r="A488">
            <v>5027</v>
          </cell>
          <cell r="B488" t="str">
            <v>CENTRO DE COSTO NO EXISTE!!!</v>
          </cell>
        </row>
        <row r="489">
          <cell r="A489">
            <v>5040</v>
          </cell>
          <cell r="B489" t="str">
            <v>DEPARTAMENTO DE CONTROL Y VIGILANCIA</v>
          </cell>
        </row>
        <row r="490">
          <cell r="A490">
            <v>5041</v>
          </cell>
          <cell r="B490" t="str">
            <v>CENTRO DE COSTO NO EXISTE!!!</v>
          </cell>
        </row>
        <row r="491">
          <cell r="A491">
            <v>5050</v>
          </cell>
          <cell r="B491" t="str">
            <v>UNIDAD QUEJAS Y ORIENT USUARIO</v>
          </cell>
        </row>
        <row r="492">
          <cell r="A492">
            <v>5051</v>
          </cell>
          <cell r="B492" t="str">
            <v>CENTRO DE COSTO NO EXISTE!!!</v>
          </cell>
        </row>
        <row r="493">
          <cell r="A493">
            <v>5100</v>
          </cell>
          <cell r="B493" t="str">
            <v>DIRECCIÓN DE GESTION HUMANA</v>
          </cell>
        </row>
        <row r="494">
          <cell r="A494">
            <v>5101</v>
          </cell>
          <cell r="B494" t="str">
            <v>SECCION DE SELECCION</v>
          </cell>
        </row>
        <row r="495">
          <cell r="A495">
            <v>5102</v>
          </cell>
          <cell r="B495" t="str">
            <v>JUEGOS DEPORTIVOS Y RECREATIVOS</v>
          </cell>
        </row>
        <row r="496">
          <cell r="A496">
            <v>5103</v>
          </cell>
          <cell r="B496" t="str">
            <v>CENTRO DE COSTO NO EXISTE!!!</v>
          </cell>
        </row>
        <row r="497">
          <cell r="A497">
            <v>5110</v>
          </cell>
          <cell r="B497" t="str">
            <v>UNIDAD DE RELACIONES LABORALES</v>
          </cell>
        </row>
        <row r="498">
          <cell r="A498">
            <v>5111</v>
          </cell>
          <cell r="B498" t="str">
            <v>SECCION VIVIENDA Y EDUCACION</v>
          </cell>
        </row>
        <row r="499">
          <cell r="A499">
            <v>5112</v>
          </cell>
          <cell r="B499" t="str">
            <v>DEPTO NÓMINA Y SEGURIDAD SOCIAL</v>
          </cell>
        </row>
        <row r="500">
          <cell r="A500">
            <v>5113</v>
          </cell>
          <cell r="B500" t="str">
            <v>SECCION PENSIONES Y SEGURIDAD SOCIAL</v>
          </cell>
        </row>
        <row r="501">
          <cell r="A501">
            <v>5114</v>
          </cell>
          <cell r="B501" t="str">
            <v>DEPTO PROCESO DISCIPLINARIOS Y LEGALES</v>
          </cell>
        </row>
        <row r="502">
          <cell r="A502">
            <v>5115</v>
          </cell>
          <cell r="B502" t="str">
            <v>CENTRO DE COSTO NO EXISTE!!!</v>
          </cell>
        </row>
        <row r="503">
          <cell r="A503">
            <v>5120</v>
          </cell>
          <cell r="B503" t="str">
            <v>DEPARTAMENTO MEDICO</v>
          </cell>
        </row>
        <row r="504">
          <cell r="A504">
            <v>5121</v>
          </cell>
          <cell r="B504" t="str">
            <v>GRUPO SERVICIOS ODONTOLOGICOS</v>
          </cell>
        </row>
        <row r="505">
          <cell r="A505">
            <v>5122</v>
          </cell>
          <cell r="B505" t="str">
            <v>GRUPO SERV MEDICOS GDPE</v>
          </cell>
        </row>
        <row r="506">
          <cell r="A506">
            <v>5123</v>
          </cell>
          <cell r="B506" t="str">
            <v>GRUPO SERV MEDICOS GTPE</v>
          </cell>
        </row>
        <row r="507">
          <cell r="A507">
            <v>5124</v>
          </cell>
          <cell r="B507" t="str">
            <v>GRUPO SERV MEDICOS PLAYAS</v>
          </cell>
        </row>
        <row r="508">
          <cell r="A508">
            <v>5125</v>
          </cell>
          <cell r="B508" t="str">
            <v>GRUPO SERV MEDICOS PORCE II</v>
          </cell>
        </row>
        <row r="509">
          <cell r="A509">
            <v>5126</v>
          </cell>
          <cell r="B509" t="str">
            <v>LEY 100  DEPTO MEDICO</v>
          </cell>
        </row>
        <row r="510">
          <cell r="A510">
            <v>5127</v>
          </cell>
          <cell r="B510" t="str">
            <v>CENTRO DE COSTO NO EXISTE!!!</v>
          </cell>
        </row>
        <row r="511">
          <cell r="A511">
            <v>5130</v>
          </cell>
          <cell r="B511" t="str">
            <v>DEPTO DESARROLLO HUMANO</v>
          </cell>
        </row>
        <row r="512">
          <cell r="A512">
            <v>5131</v>
          </cell>
          <cell r="B512" t="str">
            <v>APRENDICES SENA</v>
          </cell>
        </row>
        <row r="513">
          <cell r="A513">
            <v>5132</v>
          </cell>
          <cell r="B513" t="str">
            <v>OFICINA PROGRAMAS ESPECIALES</v>
          </cell>
        </row>
        <row r="514">
          <cell r="A514">
            <v>5133</v>
          </cell>
          <cell r="B514" t="str">
            <v>OFICINA DE TRABAJO SOCIAL</v>
          </cell>
        </row>
        <row r="515">
          <cell r="A515">
            <v>5134</v>
          </cell>
          <cell r="B515" t="str">
            <v>OFICINA DE DEPORTES</v>
          </cell>
        </row>
        <row r="516">
          <cell r="A516">
            <v>5135</v>
          </cell>
          <cell r="B516" t="str">
            <v>CENTRO DE COSTO NO EXISTE!!!</v>
          </cell>
        </row>
        <row r="517">
          <cell r="A517">
            <v>5140</v>
          </cell>
          <cell r="B517" t="str">
            <v>DPTO DE SALUD Y SEGURIDAD INDUSTRIAL</v>
          </cell>
        </row>
        <row r="518">
          <cell r="A518">
            <v>5141</v>
          </cell>
          <cell r="B518" t="str">
            <v>CENTRO DE COSTO NO EXISTE!!!</v>
          </cell>
        </row>
        <row r="519">
          <cell r="A519">
            <v>5200</v>
          </cell>
          <cell r="B519" t="str">
            <v>DIVISION SERVICIOS GENERALES</v>
          </cell>
        </row>
        <row r="520">
          <cell r="A520">
            <v>5201</v>
          </cell>
          <cell r="B520" t="str">
            <v>CENTRO DE COSTO NO EXISTE!!!</v>
          </cell>
        </row>
        <row r="521">
          <cell r="A521">
            <v>5210</v>
          </cell>
          <cell r="B521" t="str">
            <v>DEPARTAMENTO TALLERES</v>
          </cell>
        </row>
        <row r="522">
          <cell r="A522">
            <v>5211</v>
          </cell>
          <cell r="B522" t="str">
            <v>SECCION AUTOMOTORES</v>
          </cell>
        </row>
        <row r="523">
          <cell r="A523">
            <v>5212</v>
          </cell>
          <cell r="B523" t="str">
            <v>SECCION DE MECANICA</v>
          </cell>
        </row>
        <row r="524">
          <cell r="A524">
            <v>5213</v>
          </cell>
          <cell r="B524" t="str">
            <v>CENTRO DE COSTO NO EXISTE!!!</v>
          </cell>
        </row>
        <row r="525">
          <cell r="A525">
            <v>5215</v>
          </cell>
          <cell r="B525" t="str">
            <v>ESTACION DE SERVICIO</v>
          </cell>
        </row>
        <row r="526">
          <cell r="A526">
            <v>5216</v>
          </cell>
          <cell r="B526" t="str">
            <v>CENTRO DE COSTO NO EXISTE!!!</v>
          </cell>
        </row>
        <row r="527">
          <cell r="A527">
            <v>5220</v>
          </cell>
          <cell r="B527" t="str">
            <v>DEPTO CONSTRUCCION Y ADMON EDIFICIOS</v>
          </cell>
        </row>
        <row r="528">
          <cell r="A528">
            <v>5221</v>
          </cell>
          <cell r="B528" t="str">
            <v>SOSTENIMIENTO EDIFICIOS</v>
          </cell>
        </row>
        <row r="529">
          <cell r="A529">
            <v>5222</v>
          </cell>
          <cell r="B529" t="str">
            <v>ADMINISTRACION EDIFICIOS</v>
          </cell>
        </row>
        <row r="530">
          <cell r="A530">
            <v>5223</v>
          </cell>
          <cell r="B530" t="str">
            <v>CENTRO DE COSTO NO EXISTE!!!</v>
          </cell>
        </row>
        <row r="531">
          <cell r="A531">
            <v>5230</v>
          </cell>
          <cell r="B531" t="str">
            <v>DEPARTAMENTO CONTROL DE CALIDAD</v>
          </cell>
        </row>
        <row r="532">
          <cell r="A532">
            <v>5231</v>
          </cell>
          <cell r="B532" t="str">
            <v>CENTRO DE COSTO NO EXISTE!!!</v>
          </cell>
        </row>
        <row r="533">
          <cell r="A533">
            <v>5300</v>
          </cell>
          <cell r="B533" t="str">
            <v>DIVISION ALMACENES</v>
          </cell>
        </row>
        <row r="534">
          <cell r="A534">
            <v>5301</v>
          </cell>
          <cell r="B534" t="str">
            <v>UNIDAD SISTEMA INVENTARIOS</v>
          </cell>
        </row>
        <row r="535">
          <cell r="A535">
            <v>5302</v>
          </cell>
          <cell r="B535" t="str">
            <v>UNIDAD DE TRANSPORTES</v>
          </cell>
        </row>
        <row r="536">
          <cell r="A536">
            <v>5304</v>
          </cell>
          <cell r="B536" t="str">
            <v>CENTRO DE COSTO NO EXISTE!!!</v>
          </cell>
        </row>
        <row r="537">
          <cell r="A537">
            <v>5310</v>
          </cell>
          <cell r="B537" t="str">
            <v>SECCION PROVEEDURIA</v>
          </cell>
        </row>
        <row r="538">
          <cell r="A538">
            <v>5311</v>
          </cell>
          <cell r="B538" t="str">
            <v>CENTRO DE COSTO NO EXISTE!!!</v>
          </cell>
        </row>
        <row r="539">
          <cell r="A539">
            <v>5320</v>
          </cell>
          <cell r="B539" t="str">
            <v>DEPARTAMENTO OPERATIVO ALMACENES</v>
          </cell>
        </row>
        <row r="540">
          <cell r="A540">
            <v>5321</v>
          </cell>
          <cell r="B540" t="str">
            <v>CENTRO DE COSTO NO EXISTE!!!</v>
          </cell>
        </row>
        <row r="541">
          <cell r="A541">
            <v>5350</v>
          </cell>
          <cell r="B541" t="str">
            <v>DEPARTAMENTO CONTROL ALMACENES</v>
          </cell>
        </row>
        <row r="542">
          <cell r="A542">
            <v>5351</v>
          </cell>
          <cell r="B542" t="str">
            <v>CENTRO DE COSTO NO EXISTE!!!</v>
          </cell>
        </row>
        <row r="543">
          <cell r="A543">
            <v>5510</v>
          </cell>
          <cell r="B543" t="str">
            <v>DEPARTAMENTO DE BIENES</v>
          </cell>
        </row>
        <row r="544">
          <cell r="A544">
            <v>5511</v>
          </cell>
          <cell r="B544" t="str">
            <v>MAYORIA GUATAPE</v>
          </cell>
        </row>
        <row r="545">
          <cell r="A545">
            <v>5512</v>
          </cell>
          <cell r="B545" t="str">
            <v>CENTRO DE COSTO NO EXISTE!!!</v>
          </cell>
        </row>
        <row r="546">
          <cell r="A546">
            <v>5600</v>
          </cell>
          <cell r="B546" t="str">
            <v>DIVISION ADMINISTRACION EDIFICIOS</v>
          </cell>
        </row>
        <row r="547">
          <cell r="A547">
            <v>5601</v>
          </cell>
          <cell r="B547" t="str">
            <v>CENTRO DE COSTO NO EXISTE!!!</v>
          </cell>
        </row>
        <row r="548">
          <cell r="A548">
            <v>5610</v>
          </cell>
          <cell r="B548" t="str">
            <v>DEPTO. CONSTRUCCION Y ADMON. EDIFICIOS</v>
          </cell>
        </row>
        <row r="549">
          <cell r="A549">
            <v>5611</v>
          </cell>
          <cell r="B549" t="str">
            <v>CENTRO DE COSTO NO EXISTE!!!</v>
          </cell>
        </row>
        <row r="550">
          <cell r="A550">
            <v>5620</v>
          </cell>
          <cell r="B550" t="str">
            <v>ADMON. EDIFICIO CIUDAD DE MEDELLIN</v>
          </cell>
        </row>
        <row r="551">
          <cell r="A551">
            <v>5621</v>
          </cell>
          <cell r="B551" t="str">
            <v>CENTRO DE COSTO NO EXISTE!!!</v>
          </cell>
        </row>
        <row r="552">
          <cell r="A552">
            <v>5700</v>
          </cell>
          <cell r="B552" t="str">
            <v>DIRECCIÓN GESTIÓN HUMANA</v>
          </cell>
        </row>
        <row r="553">
          <cell r="A553">
            <v>5701</v>
          </cell>
          <cell r="B553" t="str">
            <v>CENTRO DE COSTO NO EXISTE!!!</v>
          </cell>
        </row>
        <row r="554">
          <cell r="A554">
            <v>5800</v>
          </cell>
          <cell r="B554" t="str">
            <v>DIRECCIÓN ADMINISTRATIVA</v>
          </cell>
        </row>
        <row r="555">
          <cell r="A555">
            <v>5801</v>
          </cell>
          <cell r="B555" t="str">
            <v>CENTRO DE COSTO NO EXISTE!!!</v>
          </cell>
        </row>
        <row r="556">
          <cell r="A556">
            <v>5950</v>
          </cell>
          <cell r="B556" t="str">
            <v>EQUIPOS VIA RADIO RURAL INDIVIDUAL</v>
          </cell>
        </row>
        <row r="557">
          <cell r="A557">
            <v>5951</v>
          </cell>
          <cell r="B557" t="str">
            <v>BUSCAPERSONAS</v>
          </cell>
        </row>
        <row r="558">
          <cell r="A558">
            <v>5952</v>
          </cell>
          <cell r="B558" t="str">
            <v>EQUIPOS ABONADO FIJO</v>
          </cell>
        </row>
        <row r="559">
          <cell r="A559">
            <v>5953</v>
          </cell>
          <cell r="B559" t="str">
            <v>EQUIPOS MOVIL TRANSPORTABLE</v>
          </cell>
        </row>
        <row r="560">
          <cell r="A560">
            <v>5954</v>
          </cell>
          <cell r="B560" t="str">
            <v>EQUIPOS ABONADO MOVIL</v>
          </cell>
        </row>
        <row r="561">
          <cell r="A561">
            <v>5955</v>
          </cell>
          <cell r="B561" t="str">
            <v>EQUIPOS ABONADO PORTATIL</v>
          </cell>
        </row>
        <row r="562">
          <cell r="A562">
            <v>5956</v>
          </cell>
          <cell r="B562" t="str">
            <v>EQUIPOS CARGADOR MULTIPLE</v>
          </cell>
        </row>
        <row r="563">
          <cell r="A563">
            <v>5957</v>
          </cell>
          <cell r="B563" t="str">
            <v>EQUIPOS CARGADOR INDIVIDUAL</v>
          </cell>
        </row>
        <row r="564">
          <cell r="A564">
            <v>5958</v>
          </cell>
          <cell r="B564" t="str">
            <v>CENTRO DE COSTO NO EXISTE!!!</v>
          </cell>
        </row>
        <row r="565">
          <cell r="A565">
            <v>5959</v>
          </cell>
          <cell r="B565" t="str">
            <v>HERRAMIENTAS</v>
          </cell>
        </row>
        <row r="566">
          <cell r="A566">
            <v>5960</v>
          </cell>
          <cell r="B566" t="str">
            <v>MUEBLES Y EQUIPOS OFICINA</v>
          </cell>
        </row>
        <row r="567">
          <cell r="A567">
            <v>5961</v>
          </cell>
          <cell r="B567" t="str">
            <v>EQUIPOS INFORMÁTICA</v>
          </cell>
        </row>
        <row r="568">
          <cell r="A568">
            <v>5962</v>
          </cell>
          <cell r="B568" t="str">
            <v>EQUPOS MANTENIMIENTO</v>
          </cell>
        </row>
        <row r="569">
          <cell r="A569">
            <v>5963</v>
          </cell>
          <cell r="B569" t="str">
            <v>OTROS ACTIVOS</v>
          </cell>
        </row>
        <row r="570">
          <cell r="A570">
            <v>5964</v>
          </cell>
          <cell r="B570" t="str">
            <v>EDIFICIO EPM</v>
          </cell>
        </row>
        <row r="571">
          <cell r="A571">
            <v>5965</v>
          </cell>
          <cell r="B571" t="str">
            <v xml:space="preserve">CENTRO DE COSTO NO EXISTE!!! </v>
          </cell>
        </row>
        <row r="572">
          <cell r="A572">
            <v>5990</v>
          </cell>
          <cell r="B572" t="str">
            <v>OBLIGACIONES PENSIONALES</v>
          </cell>
        </row>
        <row r="573">
          <cell r="A573">
            <v>5991</v>
          </cell>
          <cell r="B573" t="str">
            <v xml:space="preserve">CENTRO DE COSTO NO EXISTE!!! </v>
          </cell>
        </row>
        <row r="574">
          <cell r="A574">
            <v>5998</v>
          </cell>
          <cell r="B574" t="str">
            <v>EROGACIONES NO CAPITALIZABLES</v>
          </cell>
        </row>
        <row r="575">
          <cell r="A575">
            <v>5999</v>
          </cell>
          <cell r="B575" t="str">
            <v>GASTOS GENERALES ADMINISTRACION</v>
          </cell>
        </row>
        <row r="576">
          <cell r="A576">
            <v>6000</v>
          </cell>
          <cell r="B576" t="str">
            <v>SECRETARIA GENERAL</v>
          </cell>
        </row>
        <row r="577">
          <cell r="A577">
            <v>6001</v>
          </cell>
          <cell r="B577" t="str">
            <v xml:space="preserve">CENTRO DE COSTO NO EXISTE!!! </v>
          </cell>
        </row>
        <row r="578">
          <cell r="A578">
            <v>6010</v>
          </cell>
          <cell r="B578" t="str">
            <v>DEPTO ADMINISTRACIÓN DE DOCUMENTOS</v>
          </cell>
        </row>
        <row r="579">
          <cell r="A579">
            <v>6011</v>
          </cell>
          <cell r="B579" t="str">
            <v>SECCION ARCHIVO GENERAL</v>
          </cell>
        </row>
        <row r="580">
          <cell r="A580">
            <v>6012</v>
          </cell>
          <cell r="B580" t="str">
            <v>SECCION SERVICIOS DE DOCUMENTOS</v>
          </cell>
        </row>
        <row r="581">
          <cell r="A581">
            <v>6013</v>
          </cell>
          <cell r="B581" t="str">
            <v>SECCION BIBLIOTECA</v>
          </cell>
        </row>
        <row r="582">
          <cell r="A582">
            <v>6014</v>
          </cell>
          <cell r="B582" t="str">
            <v xml:space="preserve">CENTRO DE COSTO NO EXISTE!!! </v>
          </cell>
        </row>
        <row r="583">
          <cell r="A583">
            <v>6015</v>
          </cell>
          <cell r="B583" t="str">
            <v>ARCHIVOS ESPECIALIZADOS</v>
          </cell>
        </row>
        <row r="584">
          <cell r="A584">
            <v>6016</v>
          </cell>
          <cell r="B584" t="str">
            <v xml:space="preserve">CENTRO DE COSTO NO EXISTE!!! </v>
          </cell>
        </row>
        <row r="585">
          <cell r="A585">
            <v>6100</v>
          </cell>
          <cell r="B585" t="str">
            <v>DIVISION JURIDICA</v>
          </cell>
        </row>
        <row r="586">
          <cell r="A586">
            <v>6101</v>
          </cell>
          <cell r="B586" t="str">
            <v xml:space="preserve">CENTRO DE COSTO NO EXISTE!!! </v>
          </cell>
        </row>
        <row r="587">
          <cell r="A587">
            <v>6110</v>
          </cell>
          <cell r="B587" t="str">
            <v>UNIDAD JURÍDICA AGUAS</v>
          </cell>
        </row>
        <row r="588">
          <cell r="A588">
            <v>6111</v>
          </cell>
          <cell r="B588" t="str">
            <v xml:space="preserve">CENTRO DE COSTO NO EXISTE!!! </v>
          </cell>
        </row>
        <row r="589">
          <cell r="A589">
            <v>6120</v>
          </cell>
          <cell r="B589" t="str">
            <v>UNIDAD JURIDICA GENERACION ENERGIA/AMBIENTAL</v>
          </cell>
        </row>
        <row r="590">
          <cell r="A590">
            <v>6121</v>
          </cell>
          <cell r="B590" t="str">
            <v xml:space="preserve">CENTRO DE COSTO NO EXISTE!!! </v>
          </cell>
        </row>
        <row r="591">
          <cell r="A591">
            <v>6130</v>
          </cell>
          <cell r="B591" t="str">
            <v>UNIDAD JURIDICA TELECOMUNICACIONES</v>
          </cell>
        </row>
        <row r="592">
          <cell r="A592">
            <v>6131</v>
          </cell>
          <cell r="B592" t="str">
            <v xml:space="preserve">CENTRO DE COSTO NO EXISTE!!! </v>
          </cell>
        </row>
        <row r="593">
          <cell r="A593">
            <v>6140</v>
          </cell>
          <cell r="B593" t="str">
            <v>UNIDAD JURIDICA APOYO OTRAS ÁREAS</v>
          </cell>
        </row>
        <row r="594">
          <cell r="A594">
            <v>6141</v>
          </cell>
          <cell r="B594" t="str">
            <v xml:space="preserve">CENTRO DE COSTO NO EXISTE!!! </v>
          </cell>
        </row>
        <row r="595">
          <cell r="A595">
            <v>6150</v>
          </cell>
          <cell r="B595" t="str">
            <v>UNIDAD JURIDICA BIENES INMUEBLES</v>
          </cell>
        </row>
        <row r="596">
          <cell r="A596">
            <v>6151</v>
          </cell>
          <cell r="B596" t="str">
            <v xml:space="preserve">CENTRO DE COSTO NO EXISTE!!! </v>
          </cell>
        </row>
        <row r="597">
          <cell r="A597">
            <v>6160</v>
          </cell>
          <cell r="B597" t="str">
            <v>UNIDAD JURÍDICA PROCESOS Y RECLAMACIONES</v>
          </cell>
        </row>
        <row r="598">
          <cell r="A598">
            <v>6161</v>
          </cell>
          <cell r="B598" t="str">
            <v xml:space="preserve">CENTRO DE COSTO NO EXISTE!!! </v>
          </cell>
        </row>
        <row r="599">
          <cell r="A599">
            <v>6170</v>
          </cell>
          <cell r="B599" t="str">
            <v>UNIDAD JURIDICA DISTRIBUCION ENERGIA</v>
          </cell>
        </row>
        <row r="600">
          <cell r="A600">
            <v>6171</v>
          </cell>
          <cell r="B600" t="str">
            <v>CENTRO DE COSTO NO EXISTE!!!</v>
          </cell>
        </row>
        <row r="601">
          <cell r="A601">
            <v>7000</v>
          </cell>
          <cell r="B601" t="str">
            <v>GERENCIA DISTRIBUCION ENERGIA</v>
          </cell>
        </row>
        <row r="602">
          <cell r="A602">
            <v>7001</v>
          </cell>
          <cell r="B602" t="str">
            <v xml:space="preserve">CENTRO DE COSTO NO EXISTE!!! </v>
          </cell>
        </row>
        <row r="603">
          <cell r="A603">
            <v>7002</v>
          </cell>
          <cell r="B603" t="str">
            <v>PLANEACION DISTRIBUCION ENERGIA</v>
          </cell>
        </row>
        <row r="604">
          <cell r="A604">
            <v>7003</v>
          </cell>
          <cell r="B604" t="str">
            <v>CENTRO DE COSTO NO EXISTE!!!</v>
          </cell>
        </row>
        <row r="605">
          <cell r="A605">
            <v>7010</v>
          </cell>
          <cell r="B605" t="str">
            <v>UNIDAD CAPACITACION ENERGIA</v>
          </cell>
        </row>
        <row r="606">
          <cell r="A606">
            <v>7011</v>
          </cell>
          <cell r="B606" t="str">
            <v>CENTRO DE COSTO NO EXISTE!!!</v>
          </cell>
        </row>
        <row r="607">
          <cell r="A607">
            <v>7020</v>
          </cell>
          <cell r="B607" t="str">
            <v>UNIDAD TRANSACCION ENERGIA</v>
          </cell>
        </row>
        <row r="608">
          <cell r="A608">
            <v>7021</v>
          </cell>
          <cell r="B608" t="str">
            <v>CENTRO DE COSTO NO EXISTE!!!</v>
          </cell>
        </row>
        <row r="609">
          <cell r="A609">
            <v>7030</v>
          </cell>
          <cell r="B609" t="str">
            <v>UNID. CONTROL OPERATIVO DISTRIBUCION</v>
          </cell>
        </row>
        <row r="610">
          <cell r="A610">
            <v>7031</v>
          </cell>
          <cell r="B610" t="str">
            <v>CENTRO DE COSTO NO EXISTE!!!</v>
          </cell>
        </row>
        <row r="611">
          <cell r="A611">
            <v>7100</v>
          </cell>
          <cell r="B611" t="str">
            <v>DIVISION TECNICA ENERGIA</v>
          </cell>
        </row>
        <row r="612">
          <cell r="A612">
            <v>7101</v>
          </cell>
          <cell r="B612" t="str">
            <v>UNIDAD PROGRAMACION Y CONTROL</v>
          </cell>
        </row>
        <row r="613">
          <cell r="A613">
            <v>7102</v>
          </cell>
          <cell r="B613" t="str">
            <v>CENTRO DE COSTO NO EXISTE!!!</v>
          </cell>
        </row>
        <row r="614">
          <cell r="A614">
            <v>7110</v>
          </cell>
          <cell r="B614" t="str">
            <v>DEPTO TECNICO SUBESTACIONES</v>
          </cell>
        </row>
        <row r="615">
          <cell r="A615">
            <v>7111</v>
          </cell>
          <cell r="B615" t="str">
            <v>GRUPO AUTOMATIZ DE LA DISTRIBUCION</v>
          </cell>
        </row>
        <row r="616">
          <cell r="A616">
            <v>7112</v>
          </cell>
          <cell r="B616" t="str">
            <v>CENTRO DE COSTO NO EXISTE!!!</v>
          </cell>
        </row>
        <row r="617">
          <cell r="A617">
            <v>7120</v>
          </cell>
          <cell r="B617" t="str">
            <v>DEPTO AUTOMATIZACION DE LA DISTRIBUCION</v>
          </cell>
        </row>
        <row r="618">
          <cell r="A618">
            <v>7121</v>
          </cell>
          <cell r="B618" t="str">
            <v>CENTRO DE COSTO NO EXISTE!!!</v>
          </cell>
        </row>
        <row r="619">
          <cell r="A619">
            <v>7130</v>
          </cell>
          <cell r="B619" t="str">
            <v>DEPTO TECNICO REDES Y LINEAS</v>
          </cell>
        </row>
        <row r="620">
          <cell r="A620">
            <v>7131</v>
          </cell>
          <cell r="B620" t="str">
            <v>CENTRO DE COSTO NO EXISTE!!!</v>
          </cell>
        </row>
        <row r="621">
          <cell r="A621">
            <v>7140</v>
          </cell>
          <cell r="B621" t="str">
            <v>DEPTO NORMALIZACION MATERIALES</v>
          </cell>
        </row>
        <row r="622">
          <cell r="A622">
            <v>7141</v>
          </cell>
          <cell r="B622" t="str">
            <v>CENTRO DE COSTO NO EXISTE!!!</v>
          </cell>
        </row>
        <row r="623">
          <cell r="A623">
            <v>7200</v>
          </cell>
          <cell r="B623" t="str">
            <v>SUBGERENCIA REDES DE TRANSMISIÓN</v>
          </cell>
        </row>
        <row r="624">
          <cell r="A624">
            <v>7201</v>
          </cell>
          <cell r="B624" t="str">
            <v>UNIDAD CONTROLES Y PROTECCIONES</v>
          </cell>
        </row>
        <row r="625">
          <cell r="A625">
            <v>7202</v>
          </cell>
          <cell r="B625" t="str">
            <v>CENTRO DE COSTO NO EXISTE!!!</v>
          </cell>
        </row>
        <row r="626">
          <cell r="A626">
            <v>7210</v>
          </cell>
          <cell r="B626" t="str">
            <v>DEPARTAMENTO MANTENIMIENTO LINEAS</v>
          </cell>
        </row>
        <row r="627">
          <cell r="A627">
            <v>7211</v>
          </cell>
          <cell r="B627" t="str">
            <v>CENTRO DE COSTO NO EXISTE!!!</v>
          </cell>
        </row>
        <row r="628">
          <cell r="A628">
            <v>7220</v>
          </cell>
          <cell r="B628" t="str">
            <v>DEPTO, MANTENIMIENTO SUBESTACIONES</v>
          </cell>
        </row>
        <row r="629">
          <cell r="A629">
            <v>7221</v>
          </cell>
          <cell r="B629" t="str">
            <v>CENTRO DE COSTO NO EXISTE!!!</v>
          </cell>
        </row>
        <row r="630">
          <cell r="A630">
            <v>7230</v>
          </cell>
          <cell r="B630" t="str">
            <v>DEPARTAMENTO OPERACION Y SOSTO SUBEST.</v>
          </cell>
        </row>
        <row r="631">
          <cell r="A631">
            <v>7231</v>
          </cell>
          <cell r="B631" t="str">
            <v>CENTRO DE COSTO NO EXISTE!!!</v>
          </cell>
        </row>
        <row r="632">
          <cell r="A632">
            <v>7240</v>
          </cell>
          <cell r="B632" t="str">
            <v>CENTRO REGIONAL DE DESPACHO</v>
          </cell>
        </row>
        <row r="633">
          <cell r="A633">
            <v>7241</v>
          </cell>
          <cell r="B633" t="str">
            <v>CENTRO DE COSTO NO EXISTE!!!</v>
          </cell>
        </row>
        <row r="634">
          <cell r="A634">
            <v>7250</v>
          </cell>
          <cell r="B634" t="str">
            <v>DEPTO. MANTTO. CENTRO DE CONTROL</v>
          </cell>
        </row>
        <row r="635">
          <cell r="A635">
            <v>7251</v>
          </cell>
          <cell r="B635" t="str">
            <v>CENTRO DE COSTO NO EXISTE!!!</v>
          </cell>
        </row>
        <row r="636">
          <cell r="A636">
            <v>7300</v>
          </cell>
          <cell r="B636" t="str">
            <v>SUBGERENCIA REDES DE  DISTRIBUCIÓN</v>
          </cell>
        </row>
        <row r="637">
          <cell r="A637">
            <v>7301</v>
          </cell>
          <cell r="B637" t="str">
            <v>UNIDAD OPERACIÓN Y CALIDAD</v>
          </cell>
        </row>
        <row r="638">
          <cell r="A638">
            <v>7302</v>
          </cell>
          <cell r="B638" t="str">
            <v>UNIDAD GESTION Y CONTRATACION</v>
          </cell>
        </row>
        <row r="639">
          <cell r="A639">
            <v>7303</v>
          </cell>
          <cell r="B639" t="str">
            <v>UNIDAD CENTRO INFORMACION REDES ENERGIA</v>
          </cell>
        </row>
        <row r="640">
          <cell r="A640">
            <v>7304</v>
          </cell>
          <cell r="B640" t="str">
            <v>CENTRO DE COSTO NO EXISTE!!!</v>
          </cell>
        </row>
        <row r="641">
          <cell r="A641">
            <v>7310</v>
          </cell>
          <cell r="B641" t="str">
            <v>ÁREA DISTRIBUCIÓN ELÉCTRICA NORTE</v>
          </cell>
        </row>
        <row r="642">
          <cell r="A642">
            <v>7311</v>
          </cell>
          <cell r="B642" t="str">
            <v>ATENCIÓN CLIENTES DISTRIBUCIÓN ELÉC. NORTE</v>
          </cell>
        </row>
        <row r="643">
          <cell r="A643">
            <v>7312</v>
          </cell>
          <cell r="B643" t="str">
            <v>PROYECTOS DISTRIBUCIÓN ELECTRICA NORTE</v>
          </cell>
        </row>
        <row r="644">
          <cell r="A644">
            <v>7313</v>
          </cell>
          <cell r="B644" t="str">
            <v>MTTO Y OPERACIÓN DISTRIBUC. ELECT. NORTE</v>
          </cell>
        </row>
        <row r="645">
          <cell r="A645">
            <v>7314</v>
          </cell>
          <cell r="B645" t="str">
            <v>CENTRO DE COSTO NO EXISTE!!!</v>
          </cell>
        </row>
        <row r="646">
          <cell r="A646">
            <v>7320</v>
          </cell>
          <cell r="B646" t="str">
            <v>ÁREA DISTRIBUCIÓN ELÉCTRICA SUR</v>
          </cell>
        </row>
        <row r="647">
          <cell r="A647">
            <v>7321</v>
          </cell>
          <cell r="B647" t="str">
            <v>ATENCIÓN CLIENTES DISTRIBUCIÓN ELÉC. SUR</v>
          </cell>
        </row>
        <row r="648">
          <cell r="A648">
            <v>7322</v>
          </cell>
          <cell r="B648" t="str">
            <v>PROYECTOS DISTRIBUCIÓN ELECTRICA SUR</v>
          </cell>
        </row>
        <row r="649">
          <cell r="A649">
            <v>7323</v>
          </cell>
          <cell r="B649" t="str">
            <v>MTTO Y OPERACIÓN DISTRIBUC. ELECT. SUR</v>
          </cell>
        </row>
        <row r="650">
          <cell r="A650">
            <v>7324</v>
          </cell>
          <cell r="B650" t="str">
            <v xml:space="preserve">CENTRO DE COSTO NO EXISTE!!! </v>
          </cell>
        </row>
        <row r="651">
          <cell r="A651">
            <v>7330</v>
          </cell>
          <cell r="B651" t="str">
            <v>ÁREA ALUMBRADO PÚBLICO</v>
          </cell>
        </row>
        <row r="652">
          <cell r="A652">
            <v>7331</v>
          </cell>
          <cell r="B652" t="str">
            <v>MANTENIMIENTO ALUMBRADO PÚBLICO</v>
          </cell>
        </row>
        <row r="653">
          <cell r="A653">
            <v>7332</v>
          </cell>
          <cell r="B653" t="str">
            <v>PROYECTOS ALUMBRADO PÚBLICO</v>
          </cell>
        </row>
        <row r="654">
          <cell r="A654">
            <v>7333</v>
          </cell>
          <cell r="B654" t="str">
            <v>ALUMBRADO NAVIDENO</v>
          </cell>
        </row>
        <row r="655">
          <cell r="A655">
            <v>7334</v>
          </cell>
          <cell r="B655" t="str">
            <v>CENTRO DE COSTO NO EXISTE!!!</v>
          </cell>
        </row>
        <row r="656">
          <cell r="A656">
            <v>7340</v>
          </cell>
          <cell r="B656" t="str">
            <v>DEPTO REDES ENERGIA ZONA CENTRALES</v>
          </cell>
        </row>
        <row r="657">
          <cell r="A657">
            <v>7341</v>
          </cell>
          <cell r="B657" t="str">
            <v>CENTRO DE COSTO NO EXISTE!!!</v>
          </cell>
        </row>
        <row r="658">
          <cell r="A658">
            <v>7350</v>
          </cell>
          <cell r="B658" t="str">
            <v>ÁREA DISTRIBUCIÓN ELÉCTRICA CENTRO</v>
          </cell>
        </row>
        <row r="659">
          <cell r="A659">
            <v>7351</v>
          </cell>
          <cell r="B659" t="str">
            <v>CENTRO DE COSTO NO EXISTE!!!</v>
          </cell>
        </row>
        <row r="660">
          <cell r="A660">
            <v>7360</v>
          </cell>
          <cell r="B660" t="str">
            <v>DEPTO MANTENIMIENTO EQUIPOS</v>
          </cell>
        </row>
        <row r="661">
          <cell r="A661">
            <v>7361</v>
          </cell>
          <cell r="B661" t="str">
            <v>CENTRO DE COSTO NO EXISTE!!!</v>
          </cell>
        </row>
        <row r="662">
          <cell r="A662">
            <v>7400</v>
          </cell>
          <cell r="B662" t="str">
            <v>DIVISIÓN CONSERVACIÓN Y CONTROL ENERGÍA</v>
          </cell>
        </row>
        <row r="663">
          <cell r="A663">
            <v>7401</v>
          </cell>
          <cell r="B663" t="str">
            <v>UNIDAD ANALISIS Y GESTIÓN ENERGETICA</v>
          </cell>
        </row>
        <row r="664">
          <cell r="A664">
            <v>7402</v>
          </cell>
          <cell r="B664" t="str">
            <v>CENTRO DE COSTO NO EXISTE!!!</v>
          </cell>
        </row>
        <row r="665">
          <cell r="A665">
            <v>7408</v>
          </cell>
          <cell r="B665" t="str">
            <v>AJUSTES POR INFLACIÓN SANEAMIENTO</v>
          </cell>
        </row>
        <row r="666">
          <cell r="A666">
            <v>7409</v>
          </cell>
          <cell r="B666" t="str">
            <v>CENTRO DE COSTO NO EXISTE!!!</v>
          </cell>
        </row>
        <row r="667">
          <cell r="A667">
            <v>7410</v>
          </cell>
          <cell r="B667" t="str">
            <v>DEPTO EQUIPOS DE MEDIDA</v>
          </cell>
        </row>
        <row r="668">
          <cell r="A668">
            <v>7411</v>
          </cell>
          <cell r="B668" t="str">
            <v>ESTUDIOS PLAN FUTURO ACTO</v>
          </cell>
        </row>
        <row r="669">
          <cell r="A669">
            <v>7412</v>
          </cell>
          <cell r="B669" t="str">
            <v>CENTRO DE COSTO NO EXISTE!!!</v>
          </cell>
        </row>
        <row r="670">
          <cell r="A670">
            <v>7420</v>
          </cell>
          <cell r="B670" t="str">
            <v>DEPTO CONTROL ENERGÍA</v>
          </cell>
        </row>
        <row r="671">
          <cell r="A671">
            <v>7421</v>
          </cell>
          <cell r="B671" t="str">
            <v>SECCION CONTROL PERDIDAS ENERGÍA</v>
          </cell>
        </row>
        <row r="672">
          <cell r="A672">
            <v>7422</v>
          </cell>
          <cell r="B672" t="str">
            <v>SECCION MEDICIÓN ENERGÍA</v>
          </cell>
        </row>
        <row r="673">
          <cell r="A673">
            <v>7423</v>
          </cell>
          <cell r="B673" t="str">
            <v>SECCIÓN LIQUIDACIÓN Y NOTIFICAC. SANCIONES</v>
          </cell>
        </row>
        <row r="674">
          <cell r="A674">
            <v>7424</v>
          </cell>
          <cell r="B674" t="str">
            <v>GRUPO HABILITACIÓN VIVIENDAS ENERGÍA</v>
          </cell>
        </row>
        <row r="675">
          <cell r="A675">
            <v>7425</v>
          </cell>
          <cell r="B675" t="str">
            <v>CENTRO DE COSTO NO EXISTE!!!</v>
          </cell>
        </row>
        <row r="676">
          <cell r="A676">
            <v>7430</v>
          </cell>
          <cell r="B676" t="str">
            <v>DEPTO INSTALACIONES Y PROYECTOS PARTICULARES</v>
          </cell>
        </row>
        <row r="677">
          <cell r="A677">
            <v>7431</v>
          </cell>
          <cell r="B677" t="str">
            <v>CENTRO DE COSTO NO EXISTE!!!</v>
          </cell>
        </row>
        <row r="678">
          <cell r="A678">
            <v>7440</v>
          </cell>
          <cell r="B678" t="str">
            <v>REORDENAMIENTO DE CIRCUITOS</v>
          </cell>
        </row>
        <row r="679">
          <cell r="A679">
            <v>7441</v>
          </cell>
          <cell r="B679" t="str">
            <v>MEJORAS SERVICIO EQUIPOS TTO.</v>
          </cell>
        </row>
        <row r="680">
          <cell r="A680">
            <v>7442</v>
          </cell>
          <cell r="B680" t="str">
            <v>TIERRAS PLAN DLLO SANEAM Y ACTO.</v>
          </cell>
        </row>
        <row r="681">
          <cell r="A681">
            <v>7443</v>
          </cell>
          <cell r="B681" t="str">
            <v>MEJORAS DEL SERV CAPT EQUIPO</v>
          </cell>
        </row>
        <row r="682">
          <cell r="A682">
            <v>7444</v>
          </cell>
          <cell r="B682" t="str">
            <v>CENTRO DE COSTO NO EXISTE!!!</v>
          </cell>
        </row>
        <row r="683">
          <cell r="A683">
            <v>7445</v>
          </cell>
          <cell r="B683" t="str">
            <v>REDES Y DOMICIL.HV. ACT.PLAN FUTURO</v>
          </cell>
        </row>
        <row r="684">
          <cell r="A684">
            <v>7446</v>
          </cell>
          <cell r="B684" t="str">
            <v>CENTRO DE COSTO NO EXISTE!!!</v>
          </cell>
        </row>
        <row r="685">
          <cell r="A685">
            <v>7450</v>
          </cell>
          <cell r="B685" t="str">
            <v>REDES ACUEDUCTO</v>
          </cell>
        </row>
        <row r="686">
          <cell r="A686">
            <v>7451</v>
          </cell>
          <cell r="B686" t="str">
            <v>CONTROL AGUA NO FACT.EQ.PLAN DLLO.</v>
          </cell>
        </row>
        <row r="687">
          <cell r="A687">
            <v>7452</v>
          </cell>
          <cell r="B687" t="str">
            <v>CONDUCCIONES OBRA CIVIL PLAN DLLO.</v>
          </cell>
        </row>
        <row r="688">
          <cell r="A688">
            <v>7453</v>
          </cell>
          <cell r="B688" t="str">
            <v>ACOMETIDAS OB CIV MEJ PL DLLO</v>
          </cell>
        </row>
        <row r="689">
          <cell r="A689">
            <v>7454</v>
          </cell>
          <cell r="B689" t="str">
            <v>CENTRO DE COSTO NO EXISTE!!!</v>
          </cell>
        </row>
        <row r="690">
          <cell r="A690">
            <v>7455</v>
          </cell>
          <cell r="B690" t="str">
            <v>TANQUES PLAN DLLO SANEAM ACTO</v>
          </cell>
        </row>
        <row r="691">
          <cell r="A691">
            <v>7456</v>
          </cell>
          <cell r="B691" t="str">
            <v>MEJORAS SERVICIO EQUIPOS DIST.</v>
          </cell>
        </row>
        <row r="692">
          <cell r="A692">
            <v>7457</v>
          </cell>
          <cell r="B692" t="str">
            <v>ESTACIONES DE BOMB PLAN DLLO EQUIPOS</v>
          </cell>
        </row>
        <row r="693">
          <cell r="A693">
            <v>7458</v>
          </cell>
          <cell r="B693" t="str">
            <v>ESTACIONES BOMBEO PLAN DLLO O.CIVIL</v>
          </cell>
        </row>
        <row r="694">
          <cell r="A694">
            <v>7459</v>
          </cell>
          <cell r="B694" t="str">
            <v>CENTRO DE COSTO NO EXISTE!!!</v>
          </cell>
        </row>
        <row r="695">
          <cell r="A695">
            <v>7463</v>
          </cell>
          <cell r="B695" t="str">
            <v>PAVIMENTOS ACTO PLAN SANEAMIENTO</v>
          </cell>
        </row>
        <row r="696">
          <cell r="A696">
            <v>7464</v>
          </cell>
          <cell r="B696" t="str">
            <v>CENTRO DE COSTO NO EXISTE!!!</v>
          </cell>
        </row>
        <row r="697">
          <cell r="A697">
            <v>7465</v>
          </cell>
          <cell r="B697" t="str">
            <v>INST Y CAMB MED PLAN DLLO SANEAMIENTO</v>
          </cell>
        </row>
        <row r="698">
          <cell r="A698">
            <v>7466</v>
          </cell>
          <cell r="B698" t="str">
            <v>REINSTAL Y RETIRO INSTALACIONES</v>
          </cell>
        </row>
        <row r="699">
          <cell r="A699">
            <v>7467</v>
          </cell>
          <cell r="B699" t="str">
            <v>CENTRO DE COSTO NO EXISTE!!!</v>
          </cell>
        </row>
        <row r="700">
          <cell r="A700">
            <v>7469</v>
          </cell>
          <cell r="B700" t="str">
            <v>ANTIC PL DLLO SANEAM RIO MEDELLIN</v>
          </cell>
        </row>
        <row r="701">
          <cell r="A701">
            <v>7470</v>
          </cell>
          <cell r="B701" t="str">
            <v>ING.PLAN DLLO.SANEAM.RIO MED.ACTO.</v>
          </cell>
        </row>
        <row r="702">
          <cell r="A702">
            <v>7471</v>
          </cell>
          <cell r="B702" t="str">
            <v>INTERV.PLAN DLLO.SANEAM.RIO.MEDELLIN</v>
          </cell>
        </row>
        <row r="703">
          <cell r="A703">
            <v>7472</v>
          </cell>
          <cell r="B703" t="str">
            <v>CENTRO DE COSTO NO EXISTE!!!</v>
          </cell>
        </row>
        <row r="704">
          <cell r="A704">
            <v>7473</v>
          </cell>
          <cell r="B704" t="str">
            <v>G FROS PL DLLO SANEAM RIO MEDELLIN</v>
          </cell>
        </row>
        <row r="705">
          <cell r="A705">
            <v>7474</v>
          </cell>
          <cell r="B705" t="str">
            <v>CENTRO DE COSTO NO EXISTE!!!</v>
          </cell>
        </row>
        <row r="706">
          <cell r="A706">
            <v>7475</v>
          </cell>
          <cell r="B706" t="str">
            <v>FLUCT TIPO DE CAMBIO ACUEDUCTO</v>
          </cell>
        </row>
        <row r="707">
          <cell r="A707">
            <v>7476</v>
          </cell>
          <cell r="B707" t="str">
            <v>CENTRO DE COSTO NO EXISTE!!!</v>
          </cell>
        </row>
        <row r="708">
          <cell r="A708">
            <v>7478</v>
          </cell>
          <cell r="B708" t="str">
            <v>AJ P INFL P DLLO SANEAM RIO MEDELLIN</v>
          </cell>
        </row>
        <row r="709">
          <cell r="A709">
            <v>7479</v>
          </cell>
          <cell r="B709" t="str">
            <v>CENTRO DE COSTO NO EXISTE!!!</v>
          </cell>
        </row>
        <row r="710">
          <cell r="A710">
            <v>7480</v>
          </cell>
          <cell r="B710" t="str">
            <v>CAP P DLLO SANEAM RIO MED Y ACTO</v>
          </cell>
        </row>
        <row r="711">
          <cell r="A711">
            <v>7481</v>
          </cell>
          <cell r="B711" t="str">
            <v>INFORMAT PLAN DLLO SANEAM R MEDELLIN</v>
          </cell>
        </row>
        <row r="712">
          <cell r="A712">
            <v>7482</v>
          </cell>
          <cell r="B712" t="str">
            <v>CENTROS DE OPERACION Y MANTTO</v>
          </cell>
        </row>
        <row r="713">
          <cell r="A713">
            <v>7483</v>
          </cell>
          <cell r="B713" t="str">
            <v>CENTRO DE COSTO NO EXISTE!!!</v>
          </cell>
        </row>
        <row r="714">
          <cell r="A714">
            <v>7499</v>
          </cell>
          <cell r="B714" t="str">
            <v>ANTICIPOS PROGRAMAS GENERALES</v>
          </cell>
        </row>
        <row r="715">
          <cell r="A715">
            <v>7500</v>
          </cell>
          <cell r="B715" t="str">
            <v>DIVISION COMERCIALIZACION ENERGIA</v>
          </cell>
        </row>
        <row r="716">
          <cell r="A716">
            <v>7501</v>
          </cell>
          <cell r="B716" t="str">
            <v>CENTRO DE COSTO NO EXISTE!!!</v>
          </cell>
        </row>
        <row r="717">
          <cell r="A717">
            <v>7511</v>
          </cell>
          <cell r="B717" t="str">
            <v>TANQUES GIRARDOTA</v>
          </cell>
        </row>
        <row r="718">
          <cell r="A718">
            <v>7512</v>
          </cell>
          <cell r="B718" t="str">
            <v>CENTRO DE COSTO NO EXISTE!!!</v>
          </cell>
        </row>
        <row r="719">
          <cell r="A719">
            <v>7520</v>
          </cell>
          <cell r="B719" t="str">
            <v>USO RACIONAL DE ENERGIA</v>
          </cell>
        </row>
        <row r="720">
          <cell r="A720">
            <v>7521</v>
          </cell>
          <cell r="B720" t="str">
            <v>CENTRO DE COSTO NO EXISTE!!!</v>
          </cell>
        </row>
        <row r="721">
          <cell r="A721">
            <v>7539</v>
          </cell>
          <cell r="B721" t="str">
            <v>ANTICIPOS FINDETER</v>
          </cell>
        </row>
        <row r="722">
          <cell r="A722">
            <v>7540</v>
          </cell>
          <cell r="B722" t="str">
            <v>CENTRO DE COSTO NO EXISTE!!!</v>
          </cell>
        </row>
        <row r="723">
          <cell r="A723">
            <v>7550</v>
          </cell>
          <cell r="B723" t="str">
            <v>REORDENAMIENTO DE CIRCUITOS PLAN FUTURO</v>
          </cell>
        </row>
        <row r="724">
          <cell r="A724">
            <v>7551</v>
          </cell>
          <cell r="B724" t="str">
            <v>CENTRO DE COSTO NO EXISTE!!!</v>
          </cell>
        </row>
        <row r="725">
          <cell r="A725">
            <v>7555</v>
          </cell>
          <cell r="B725" t="str">
            <v>SUMINISTRO EQUIPOS PLANTA TTO, PLAN BIENAL</v>
          </cell>
        </row>
        <row r="726">
          <cell r="A726">
            <v>7556</v>
          </cell>
          <cell r="B726" t="str">
            <v>CENTRO DE COSTO NO EXISTE!!!</v>
          </cell>
        </row>
        <row r="727">
          <cell r="A727">
            <v>7558</v>
          </cell>
          <cell r="B727" t="str">
            <v>AJ POR INFL PLAN BIENAL ACTO</v>
          </cell>
        </row>
        <row r="728">
          <cell r="A728">
            <v>7559</v>
          </cell>
          <cell r="B728" t="str">
            <v>CENTRO DE COSTO NO EXISTE!!!</v>
          </cell>
        </row>
        <row r="729">
          <cell r="A729">
            <v>7566</v>
          </cell>
          <cell r="B729" t="str">
            <v>EST DE BOMBEO PLAN BIENAL</v>
          </cell>
        </row>
        <row r="730">
          <cell r="A730">
            <v>7567</v>
          </cell>
          <cell r="B730" t="str">
            <v>CENTRO DE COSTO NO EXISTE!!!</v>
          </cell>
        </row>
        <row r="731">
          <cell r="A731">
            <v>7572</v>
          </cell>
          <cell r="B731" t="str">
            <v>CONSTRUCC.YCAMB.DOMICILIARI.ACTO.</v>
          </cell>
        </row>
        <row r="732">
          <cell r="A732">
            <v>7573</v>
          </cell>
          <cell r="B732" t="str">
            <v>CENTRO DE COSTO NO EXISTE!!!</v>
          </cell>
        </row>
        <row r="733">
          <cell r="A733">
            <v>7576</v>
          </cell>
          <cell r="B733" t="str">
            <v>CONSTRUCCION OBRAS PROG PERIUR</v>
          </cell>
        </row>
        <row r="734">
          <cell r="A734">
            <v>7577</v>
          </cell>
          <cell r="B734" t="str">
            <v>CONST NUEVAS REDES PLAN BIENAL</v>
          </cell>
        </row>
        <row r="735">
          <cell r="A735">
            <v>7578</v>
          </cell>
          <cell r="B735" t="str">
            <v>CENTRO DE COSTO NO EXISTE!!!</v>
          </cell>
        </row>
        <row r="736">
          <cell r="A736">
            <v>7579</v>
          </cell>
          <cell r="B736" t="str">
            <v>ING PL BIENAL ACTO</v>
          </cell>
        </row>
        <row r="737">
          <cell r="A737">
            <v>7580</v>
          </cell>
          <cell r="B737" t="str">
            <v>ESTUD Y DIS ACTO PL BIENAL</v>
          </cell>
        </row>
        <row r="738">
          <cell r="A738">
            <v>7581</v>
          </cell>
          <cell r="B738" t="str">
            <v>CENTRO DE COSTO NO EXISTE!!!</v>
          </cell>
        </row>
        <row r="739">
          <cell r="A739">
            <v>7588</v>
          </cell>
          <cell r="B739" t="str">
            <v>AJ POR INFL FINDETER HV</v>
          </cell>
        </row>
        <row r="740">
          <cell r="A740">
            <v>7589</v>
          </cell>
          <cell r="B740" t="str">
            <v>ANTICIPOS OTROS PROGRAMAS</v>
          </cell>
        </row>
        <row r="741">
          <cell r="A741">
            <v>7590</v>
          </cell>
          <cell r="B741" t="str">
            <v>CENTRO DE COSTO NO EXISTE!!!</v>
          </cell>
        </row>
        <row r="742">
          <cell r="A742">
            <v>7600</v>
          </cell>
          <cell r="B742" t="str">
            <v>DIVISION MONTAJES</v>
          </cell>
        </row>
        <row r="743">
          <cell r="A743">
            <v>7601</v>
          </cell>
          <cell r="B743" t="str">
            <v>GRUPO MONTAJE CENTRALES</v>
          </cell>
        </row>
        <row r="744">
          <cell r="A744">
            <v>7602</v>
          </cell>
          <cell r="B744" t="str">
            <v>GRUPO MONTAJE SUBESTACIONES</v>
          </cell>
        </row>
        <row r="745">
          <cell r="A745">
            <v>7603</v>
          </cell>
          <cell r="B745" t="str">
            <v>CENTRO DE COSTO NO EXISTE!!!</v>
          </cell>
        </row>
        <row r="746">
          <cell r="A746">
            <v>7606</v>
          </cell>
          <cell r="B746" t="str">
            <v>CONST COLECT INTERCEP PL BIENA</v>
          </cell>
        </row>
        <row r="747">
          <cell r="A747">
            <v>7607</v>
          </cell>
          <cell r="B747" t="str">
            <v>CENTRO DE COSTO NO EXISTE!!!</v>
          </cell>
        </row>
        <row r="748">
          <cell r="A748">
            <v>7608</v>
          </cell>
          <cell r="B748" t="str">
            <v>CONSTRUCCION OBRAS CONTROL VER</v>
          </cell>
        </row>
        <row r="749">
          <cell r="A749">
            <v>7609</v>
          </cell>
          <cell r="B749" t="str">
            <v>CENTRO DE COSTO NO EXISTE!!!</v>
          </cell>
        </row>
        <row r="750">
          <cell r="A750">
            <v>7610</v>
          </cell>
          <cell r="B750" t="str">
            <v>RECONST MASIVA RED ALC PL BIEN</v>
          </cell>
        </row>
        <row r="751">
          <cell r="A751">
            <v>7611</v>
          </cell>
          <cell r="B751" t="str">
            <v xml:space="preserve">CENTRO DE COSTO NO EXISTE!!! </v>
          </cell>
        </row>
        <row r="752">
          <cell r="A752">
            <v>7618</v>
          </cell>
          <cell r="B752" t="str">
            <v>CONST NUEV REDES ALC PLAN BIEN</v>
          </cell>
        </row>
        <row r="753">
          <cell r="A753">
            <v>7619</v>
          </cell>
          <cell r="B753" t="str">
            <v>CENTRO DE COSTO NO EXISTE!!!</v>
          </cell>
        </row>
        <row r="754">
          <cell r="A754">
            <v>7628</v>
          </cell>
          <cell r="B754" t="str">
            <v>AJ POR INFL PLAN BIENAL ALC</v>
          </cell>
        </row>
        <row r="755">
          <cell r="A755">
            <v>7629</v>
          </cell>
          <cell r="B755" t="str">
            <v>ING PL BIENAL ALC</v>
          </cell>
        </row>
        <row r="756">
          <cell r="A756">
            <v>7630</v>
          </cell>
          <cell r="B756" t="str">
            <v>EST Y DIS ALC PL BIENAL</v>
          </cell>
        </row>
        <row r="757">
          <cell r="A757">
            <v>7631</v>
          </cell>
          <cell r="B757" t="str">
            <v>INTERVENTORIA PLAN BIENAL ALC</v>
          </cell>
        </row>
        <row r="758">
          <cell r="A758">
            <v>7632</v>
          </cell>
          <cell r="B758" t="str">
            <v>CENTRO DE COSTO NO EXISTE!!!</v>
          </cell>
        </row>
        <row r="759">
          <cell r="A759">
            <v>7640</v>
          </cell>
          <cell r="B759" t="str">
            <v>EQUIPOS TELEMETRIA Y TELECONTR</v>
          </cell>
        </row>
        <row r="760">
          <cell r="A760">
            <v>7641</v>
          </cell>
          <cell r="B760" t="str">
            <v>CENTRO DE TELEMETRIA OBRA CIVI</v>
          </cell>
        </row>
        <row r="761">
          <cell r="A761">
            <v>7642</v>
          </cell>
          <cell r="B761" t="str">
            <v>CENTRO DE COSTO NO EXISTE!!!</v>
          </cell>
        </row>
        <row r="762">
          <cell r="A762">
            <v>7653</v>
          </cell>
          <cell r="B762" t="str">
            <v>PROG VEREDAS OTROS PROGRAMAS</v>
          </cell>
        </row>
        <row r="763">
          <cell r="A763">
            <v>7654</v>
          </cell>
          <cell r="B763" t="str">
            <v>CENTRO DE COSTO NO EXISTE!!!</v>
          </cell>
        </row>
        <row r="764">
          <cell r="A764">
            <v>7655</v>
          </cell>
          <cell r="B764" t="str">
            <v>REDES Y DOMIC H.V.</v>
          </cell>
        </row>
        <row r="765">
          <cell r="A765">
            <v>7656</v>
          </cell>
          <cell r="B765" t="str">
            <v>RECONST. REDES INVAL ACUEDUCTO</v>
          </cell>
        </row>
        <row r="766">
          <cell r="A766">
            <v>7657</v>
          </cell>
          <cell r="B766" t="str">
            <v>RECONST REDES OTROS PROG    .</v>
          </cell>
        </row>
        <row r="767">
          <cell r="A767">
            <v>7658</v>
          </cell>
          <cell r="B767" t="str">
            <v>ESTABIL. PRESA PIEDRAS BLANCAS</v>
          </cell>
        </row>
        <row r="768">
          <cell r="A768">
            <v>7659</v>
          </cell>
          <cell r="B768" t="str">
            <v>TANQUES OTROS PROGRAMAS</v>
          </cell>
        </row>
        <row r="769">
          <cell r="A769">
            <v>7660</v>
          </cell>
          <cell r="B769" t="str">
            <v>REFACCION INST. TRATAMIENTO</v>
          </cell>
        </row>
        <row r="770">
          <cell r="A770">
            <v>7661</v>
          </cell>
          <cell r="B770" t="str">
            <v>REFACCION INSTALAC CAPTACION</v>
          </cell>
        </row>
        <row r="771">
          <cell r="A771">
            <v>7662</v>
          </cell>
          <cell r="B771" t="str">
            <v>ACONDICIONAMIENTO INSTALACIONES CALDAS</v>
          </cell>
        </row>
        <row r="772">
          <cell r="A772">
            <v>7663</v>
          </cell>
          <cell r="B772" t="str">
            <v>REFACCION INST. DISTRIBUCION</v>
          </cell>
        </row>
        <row r="773">
          <cell r="A773">
            <v>7664</v>
          </cell>
          <cell r="B773" t="str">
            <v>ACONDICIONAMIENTO INSTALACIONES BARBOSA</v>
          </cell>
        </row>
        <row r="774">
          <cell r="A774">
            <v>7665</v>
          </cell>
          <cell r="B774" t="str">
            <v>CENTRO DE COSTO NO EXISTE!!!</v>
          </cell>
        </row>
        <row r="775">
          <cell r="A775">
            <v>7666</v>
          </cell>
          <cell r="B775" t="str">
            <v>REDES DE DISTRIBUCION ACUEDUCTO  OP</v>
          </cell>
        </row>
        <row r="776">
          <cell r="A776">
            <v>7667</v>
          </cell>
          <cell r="B776" t="str">
            <v>CONDUCCIONES E IMPULSACIONES</v>
          </cell>
        </row>
        <row r="777">
          <cell r="A777">
            <v>7668</v>
          </cell>
          <cell r="B777" t="str">
            <v>CENTRO DE COSTO NO EXISTE!!!</v>
          </cell>
        </row>
        <row r="778">
          <cell r="A778">
            <v>7669</v>
          </cell>
          <cell r="B778" t="str">
            <v>ANTICIPOS OTROS PROGRAMAS</v>
          </cell>
        </row>
        <row r="779">
          <cell r="A779">
            <v>7670</v>
          </cell>
          <cell r="B779" t="str">
            <v>VENTA AGUA CRUDA</v>
          </cell>
        </row>
        <row r="780">
          <cell r="A780">
            <v>7671</v>
          </cell>
          <cell r="B780" t="str">
            <v>CENTRO DE COSTO NO EXISTE!!!</v>
          </cell>
        </row>
        <row r="781">
          <cell r="A781">
            <v>7675</v>
          </cell>
          <cell r="B781" t="str">
            <v>OBRAS PROGRAMA PAAC OP</v>
          </cell>
        </row>
        <row r="782">
          <cell r="A782">
            <v>7676</v>
          </cell>
          <cell r="B782" t="str">
            <v>CENTRO DE COSTO NO EXISTE!!!</v>
          </cell>
        </row>
        <row r="783">
          <cell r="A783">
            <v>7678</v>
          </cell>
          <cell r="B783" t="str">
            <v>AJ POR INFL OTROS PROGRAMAS</v>
          </cell>
        </row>
        <row r="784">
          <cell r="A784">
            <v>7679</v>
          </cell>
          <cell r="B784" t="str">
            <v>ANTICIPOS PLAN BIENAL</v>
          </cell>
        </row>
        <row r="785">
          <cell r="A785">
            <v>7680</v>
          </cell>
          <cell r="B785" t="str">
            <v>CENTRO DE COSTO NO EXISTE!!!</v>
          </cell>
        </row>
        <row r="786">
          <cell r="A786">
            <v>7695</v>
          </cell>
          <cell r="B786" t="str">
            <v>MICROCENTRALES OBRA CIVIL</v>
          </cell>
        </row>
        <row r="787">
          <cell r="A787">
            <v>7696</v>
          </cell>
          <cell r="B787" t="str">
            <v>MICROCENTRALES EQUIPOS</v>
          </cell>
        </row>
        <row r="788">
          <cell r="A788">
            <v>7697</v>
          </cell>
          <cell r="B788" t="str">
            <v>INTERVENTORIA OTROS PROG ACTO</v>
          </cell>
        </row>
        <row r="789">
          <cell r="A789">
            <v>7698</v>
          </cell>
          <cell r="B789" t="str">
            <v>INGENIERIA OTROS PROGRAMAS ACU</v>
          </cell>
        </row>
        <row r="790">
          <cell r="A790">
            <v>7699</v>
          </cell>
          <cell r="B790" t="str">
            <v>CENTRO DE COSTO NO EXISTE!!!</v>
          </cell>
        </row>
        <row r="791">
          <cell r="A791">
            <v>7700</v>
          </cell>
          <cell r="B791" t="str">
            <v>DISE\O PLANTA DE TTO SAN FDO</v>
          </cell>
        </row>
        <row r="792">
          <cell r="A792">
            <v>7701</v>
          </cell>
          <cell r="B792" t="str">
            <v>CENTRO DE COSTO NO EXISTE!!!</v>
          </cell>
        </row>
        <row r="793">
          <cell r="A793">
            <v>7709</v>
          </cell>
          <cell r="B793" t="str">
            <v>GASTOS FROS FONADE PTA TTO SAN FDO</v>
          </cell>
        </row>
        <row r="794">
          <cell r="A794">
            <v>7710</v>
          </cell>
          <cell r="B794" t="str">
            <v>REUBICACION ASENT BELLO SANEAMIENTO</v>
          </cell>
        </row>
        <row r="795">
          <cell r="A795">
            <v>7711</v>
          </cell>
          <cell r="B795" t="str">
            <v>PREPARACION PL DLLO. DEL NORTE</v>
          </cell>
        </row>
        <row r="796">
          <cell r="A796">
            <v>7712</v>
          </cell>
          <cell r="B796" t="str">
            <v>CENTRO DE COSTO NO EXISTE!!!</v>
          </cell>
        </row>
        <row r="797">
          <cell r="A797">
            <v>7715</v>
          </cell>
          <cell r="B797" t="str">
            <v>OBRAS PROG PAAC ALCANTARILLADO</v>
          </cell>
        </row>
        <row r="798">
          <cell r="A798">
            <v>7716</v>
          </cell>
          <cell r="B798" t="str">
            <v>CENTRO DE COSTO NO EXISTE!!!</v>
          </cell>
        </row>
        <row r="799">
          <cell r="A799">
            <v>7721</v>
          </cell>
          <cell r="B799" t="str">
            <v>PLAN CORREGIMIENTO VEREDAS ALC</v>
          </cell>
        </row>
        <row r="800">
          <cell r="A800">
            <v>7722</v>
          </cell>
          <cell r="B800" t="str">
            <v>CENTRO DE COSTO NO EXISTE!!!</v>
          </cell>
        </row>
        <row r="801">
          <cell r="A801">
            <v>7745</v>
          </cell>
          <cell r="B801" t="str">
            <v>REDES Y DOMICILIARIAS HV. ALC</v>
          </cell>
        </row>
        <row r="802">
          <cell r="A802">
            <v>7746</v>
          </cell>
          <cell r="B802" t="str">
            <v>INTERCEPT PLAN DLLO SANEAM R MEDELLIN</v>
          </cell>
        </row>
        <row r="803">
          <cell r="A803">
            <v>7747</v>
          </cell>
          <cell r="B803" t="str">
            <v>COLECT PLAN DLLO SANEAM RIO MEDELLIN</v>
          </cell>
        </row>
        <row r="804">
          <cell r="A804">
            <v>7748</v>
          </cell>
          <cell r="B804" t="str">
            <v>AJ POR INFL FINDETER HV</v>
          </cell>
        </row>
        <row r="805">
          <cell r="A805">
            <v>7749</v>
          </cell>
          <cell r="B805" t="str">
            <v>CENTRO DE COSTO NO EXISTE!!!</v>
          </cell>
        </row>
        <row r="806">
          <cell r="A806">
            <v>7754</v>
          </cell>
          <cell r="B806" t="str">
            <v>CONST Y CAMB DOMIC Y ACOMETIDAS</v>
          </cell>
        </row>
        <row r="807">
          <cell r="A807">
            <v>7755</v>
          </cell>
          <cell r="B807" t="str">
            <v>CENTRO DE COSTO NO EXISTE!!!</v>
          </cell>
        </row>
        <row r="808">
          <cell r="A808">
            <v>7756</v>
          </cell>
          <cell r="B808" t="str">
            <v>CONST SUMIDEROS PLUVIALES</v>
          </cell>
        </row>
        <row r="809">
          <cell r="A809">
            <v>7757</v>
          </cell>
          <cell r="B809" t="str">
            <v>CENTRO DE COSTO NO EXISTE!!!</v>
          </cell>
        </row>
        <row r="810">
          <cell r="A810">
            <v>7758</v>
          </cell>
          <cell r="B810" t="str">
            <v>OBRAS CONTROL VERTIMIENTOS</v>
          </cell>
        </row>
        <row r="811">
          <cell r="A811">
            <v>7759</v>
          </cell>
          <cell r="B811" t="str">
            <v>CENTRO DE COSTO NO EXISTE!!!</v>
          </cell>
        </row>
        <row r="812">
          <cell r="A812">
            <v>7762</v>
          </cell>
          <cell r="B812" t="str">
            <v>OBRA CIVIL PLANTA TTO SAN FDO</v>
          </cell>
        </row>
        <row r="813">
          <cell r="A813">
            <v>7763</v>
          </cell>
          <cell r="B813" t="str">
            <v>EQUIPOS PLANTA TTO SAN FDO</v>
          </cell>
        </row>
        <row r="814">
          <cell r="A814">
            <v>7764</v>
          </cell>
          <cell r="B814" t="str">
            <v>TERRENOS PLANTA TTO. SAN FERNANDO</v>
          </cell>
        </row>
        <row r="815">
          <cell r="A815">
            <v>7765</v>
          </cell>
          <cell r="B815" t="str">
            <v>MONTAJE EQUIPOS PLANTA TTO SAN FDO.</v>
          </cell>
        </row>
        <row r="816">
          <cell r="A816">
            <v>7766</v>
          </cell>
          <cell r="B816" t="str">
            <v>TIERR Y SERVID COLECT PL EXP REP</v>
          </cell>
        </row>
        <row r="817">
          <cell r="A817">
            <v>7767</v>
          </cell>
          <cell r="B817" t="str">
            <v>CENTRO DE COSTO NO EXISTE!!!</v>
          </cell>
        </row>
        <row r="818">
          <cell r="A818">
            <v>7768</v>
          </cell>
          <cell r="B818" t="str">
            <v>AJ POR INFL OTROS PROGRAMAS</v>
          </cell>
        </row>
        <row r="819">
          <cell r="A819">
            <v>7769</v>
          </cell>
          <cell r="B819" t="str">
            <v>ANTICIPOS PLAN DLLO SANEAMIENTO</v>
          </cell>
        </row>
        <row r="820">
          <cell r="A820">
            <v>7770</v>
          </cell>
          <cell r="B820" t="str">
            <v>ING.PLAN DLLO.SANEAM.RIO MEDELLIN</v>
          </cell>
        </row>
        <row r="821">
          <cell r="A821">
            <v>7771</v>
          </cell>
          <cell r="B821" t="str">
            <v>INTERV. PLAN SANEAM.RIO MEDELLIN</v>
          </cell>
        </row>
        <row r="822">
          <cell r="A822">
            <v>7772</v>
          </cell>
          <cell r="B822" t="str">
            <v>CENTRO DE COSTO NO EXISTE!!!</v>
          </cell>
        </row>
        <row r="823">
          <cell r="A823">
            <v>7773</v>
          </cell>
          <cell r="B823" t="str">
            <v>GTOS FROS PLAN DLLO SANEAMIENTO</v>
          </cell>
        </row>
        <row r="824">
          <cell r="A824">
            <v>7774</v>
          </cell>
          <cell r="B824" t="str">
            <v>CENTRO DE COSTO NO EXISTE!!!</v>
          </cell>
        </row>
        <row r="825">
          <cell r="A825">
            <v>7775</v>
          </cell>
          <cell r="B825" t="str">
            <v>FLUCT TIPO DE CAMBIO ALCANTARILLADO</v>
          </cell>
        </row>
        <row r="826">
          <cell r="A826">
            <v>7776</v>
          </cell>
          <cell r="B826" t="str">
            <v>REPOSICION COLECTORES</v>
          </cell>
        </row>
        <row r="827">
          <cell r="A827">
            <v>7777</v>
          </cell>
          <cell r="B827" t="str">
            <v>CENTRO DE COSTO NO EXISTE!!!</v>
          </cell>
        </row>
        <row r="828">
          <cell r="A828">
            <v>7778</v>
          </cell>
          <cell r="B828" t="str">
            <v>CONST COLECTORES OTROS PROGRAMAS</v>
          </cell>
        </row>
        <row r="829">
          <cell r="A829">
            <v>7779</v>
          </cell>
          <cell r="B829" t="str">
            <v>CENTRO DE COSTO NO EXISTE!!!</v>
          </cell>
        </row>
        <row r="830">
          <cell r="A830">
            <v>7783</v>
          </cell>
          <cell r="B830" t="str">
            <v>PROGRAMA PERIURBANO OTROS PROGRAMAS</v>
          </cell>
        </row>
        <row r="831">
          <cell r="A831">
            <v>7784</v>
          </cell>
          <cell r="B831" t="str">
            <v>CENTRO DE COSTO NO EXISTE!!!</v>
          </cell>
        </row>
        <row r="832">
          <cell r="A832">
            <v>7786</v>
          </cell>
          <cell r="B832" t="str">
            <v>RECONST.REDES INVAL ALCANTARILLADO</v>
          </cell>
        </row>
        <row r="833">
          <cell r="A833">
            <v>7787</v>
          </cell>
          <cell r="B833" t="str">
            <v>REPOSICION REDES ALCANTARILLADO</v>
          </cell>
        </row>
        <row r="834">
          <cell r="A834">
            <v>7788</v>
          </cell>
          <cell r="B834" t="str">
            <v>INGENIERIA OTROS PROGRAMAS ALCDO.</v>
          </cell>
        </row>
        <row r="835">
          <cell r="A835">
            <v>7789</v>
          </cell>
          <cell r="B835" t="str">
            <v>CENTRO DE COSTO NO EXISTE!!!</v>
          </cell>
        </row>
        <row r="836">
          <cell r="A836">
            <v>7802</v>
          </cell>
          <cell r="B836" t="str">
            <v>RED PRIMARIA REPOSICIÓN</v>
          </cell>
        </row>
        <row r="837">
          <cell r="A837">
            <v>7803</v>
          </cell>
          <cell r="B837" t="str">
            <v>CENTRO DE COSTO NO EXISTE!!!</v>
          </cell>
        </row>
        <row r="838">
          <cell r="A838">
            <v>7804</v>
          </cell>
          <cell r="B838" t="str">
            <v>RED SECUNDARIA REPOSICION</v>
          </cell>
        </row>
        <row r="839">
          <cell r="A839">
            <v>7805</v>
          </cell>
          <cell r="B839" t="str">
            <v>CENTRO DE COSTO NO EXISTE!!!</v>
          </cell>
        </row>
        <row r="840">
          <cell r="A840">
            <v>7807</v>
          </cell>
          <cell r="B840" t="str">
            <v>PROYECTO CENTRO</v>
          </cell>
        </row>
        <row r="841">
          <cell r="A841">
            <v>7808</v>
          </cell>
          <cell r="B841" t="str">
            <v>EQUIPOS RED DE ACCESO</v>
          </cell>
        </row>
        <row r="842">
          <cell r="A842">
            <v>7809</v>
          </cell>
          <cell r="B842" t="str">
            <v>PROYECTO TELEVISION POR CABLE</v>
          </cell>
        </row>
        <row r="843">
          <cell r="A843">
            <v>7810</v>
          </cell>
          <cell r="B843" t="str">
            <v>RED PRIMARIA PLAN 95-99</v>
          </cell>
        </row>
        <row r="844">
          <cell r="A844">
            <v>7811</v>
          </cell>
          <cell r="B844" t="str">
            <v>CENTRO DE COSTO NO EXISTE!!!</v>
          </cell>
        </row>
        <row r="845">
          <cell r="A845">
            <v>7812</v>
          </cell>
          <cell r="B845" t="str">
            <v>RED SECUNDARIA PLAN 95-99</v>
          </cell>
        </row>
        <row r="846">
          <cell r="A846">
            <v>7813</v>
          </cell>
          <cell r="B846" t="str">
            <v>CENTRO DE COSTO NO EXISTE!!!</v>
          </cell>
        </row>
        <row r="847">
          <cell r="A847">
            <v>7814</v>
          </cell>
          <cell r="B847" t="str">
            <v>RED CANALIZACIONES PLAN 95-99</v>
          </cell>
        </row>
        <row r="848">
          <cell r="A848">
            <v>7815</v>
          </cell>
          <cell r="B848" t="str">
            <v>CENTRO DE COSTO NO EXISTE!!!</v>
          </cell>
        </row>
        <row r="849">
          <cell r="A849">
            <v>7816</v>
          </cell>
          <cell r="B849" t="str">
            <v>PRESURIZACION</v>
          </cell>
        </row>
        <row r="850">
          <cell r="A850">
            <v>7817</v>
          </cell>
          <cell r="B850" t="str">
            <v>SISTEMATIZACION DANOS P.95-99</v>
          </cell>
        </row>
        <row r="851">
          <cell r="A851">
            <v>7818</v>
          </cell>
          <cell r="B851" t="str">
            <v>PLAN DE CONTINGENCIAS</v>
          </cell>
        </row>
        <row r="852">
          <cell r="A852">
            <v>7819</v>
          </cell>
          <cell r="B852" t="str">
            <v>DESPACHO CUADRILLAS P.95-99</v>
          </cell>
        </row>
        <row r="853">
          <cell r="A853">
            <v>7820</v>
          </cell>
          <cell r="B853" t="str">
            <v>LINEA ABONADOS PLAN 95-99</v>
          </cell>
        </row>
        <row r="854">
          <cell r="A854">
            <v>7821</v>
          </cell>
          <cell r="B854" t="str">
            <v>LINEA ABONADOS ORIENTE</v>
          </cell>
        </row>
        <row r="855">
          <cell r="A855">
            <v>7822</v>
          </cell>
          <cell r="B855" t="str">
            <v>TELS PUBLICOS SIN COBRO</v>
          </cell>
        </row>
        <row r="856">
          <cell r="A856">
            <v>7823</v>
          </cell>
          <cell r="B856" t="str">
            <v>CENTRO DE COSTO NO EXISTE!!!</v>
          </cell>
        </row>
        <row r="857">
          <cell r="A857">
            <v>7824</v>
          </cell>
          <cell r="B857" t="str">
            <v>TELS PUBLICOS CON COBRO</v>
          </cell>
        </row>
        <row r="858">
          <cell r="A858">
            <v>7825</v>
          </cell>
          <cell r="B858" t="str">
            <v>CENTRO DE COSTO NO EXISTE!!!</v>
          </cell>
        </row>
        <row r="859">
          <cell r="A859">
            <v>7826</v>
          </cell>
          <cell r="B859" t="str">
            <v>DESPACHO DE CUADRILLAS ORIENTE</v>
          </cell>
        </row>
        <row r="860">
          <cell r="A860">
            <v>7827</v>
          </cell>
          <cell r="B860" t="str">
            <v>COMUNICACION VIA RADIO</v>
          </cell>
        </row>
        <row r="861">
          <cell r="A861">
            <v>7828</v>
          </cell>
          <cell r="B861" t="str">
            <v>CAMBIOS RED PRIM Y SECUN P 95-99</v>
          </cell>
        </row>
        <row r="862">
          <cell r="A862">
            <v>7829</v>
          </cell>
          <cell r="B862" t="str">
            <v>CENTRO DE COSTO NO EXISTE!!!</v>
          </cell>
        </row>
        <row r="863">
          <cell r="A863">
            <v>7830</v>
          </cell>
          <cell r="B863" t="str">
            <v>AJ X INFL VIA RADIO CONVENCIONAL</v>
          </cell>
        </row>
        <row r="864">
          <cell r="A864">
            <v>7831</v>
          </cell>
          <cell r="B864" t="str">
            <v>CENTRO DE COSTO NO EXISTE!!!</v>
          </cell>
        </row>
        <row r="865">
          <cell r="A865">
            <v>7839</v>
          </cell>
          <cell r="B865" t="str">
            <v>ANTICIPOS PLAN MAESTRO DE INF.</v>
          </cell>
        </row>
        <row r="866">
          <cell r="A866">
            <v>7840</v>
          </cell>
          <cell r="B866" t="str">
            <v>CENTRO DE COSTO NO EXISTE!!!</v>
          </cell>
        </row>
        <row r="867">
          <cell r="A867">
            <v>7846</v>
          </cell>
          <cell r="B867" t="str">
            <v>AJ POR INFL OTROS PROGRAMAS</v>
          </cell>
        </row>
        <row r="868">
          <cell r="A868">
            <v>7847</v>
          </cell>
          <cell r="B868" t="str">
            <v>CENTRO DE COSTO NO EXISTE!!!</v>
          </cell>
        </row>
        <row r="869">
          <cell r="A869">
            <v>7869</v>
          </cell>
          <cell r="B869" t="str">
            <v>ANTICIPOS PROGRAMAS ESPECIALES</v>
          </cell>
        </row>
        <row r="870">
          <cell r="A870">
            <v>7870</v>
          </cell>
          <cell r="B870" t="str">
            <v>CENTRO DE COSTO NO EXISTE!!!</v>
          </cell>
        </row>
        <row r="871">
          <cell r="A871">
            <v>7891</v>
          </cell>
          <cell r="B871" t="str">
            <v>CORREO DE VOZ</v>
          </cell>
        </row>
        <row r="872">
          <cell r="A872">
            <v>7892</v>
          </cell>
          <cell r="B872" t="str">
            <v>LARGA DISTANCIA</v>
          </cell>
        </row>
        <row r="873">
          <cell r="A873">
            <v>7893</v>
          </cell>
          <cell r="B873" t="str">
            <v>TRUNKING NACIONAL</v>
          </cell>
        </row>
        <row r="874">
          <cell r="A874">
            <v>7894</v>
          </cell>
          <cell r="B874" t="str">
            <v>RED METROPOLITANA DE DATOS</v>
          </cell>
        </row>
        <row r="875">
          <cell r="A875">
            <v>7895</v>
          </cell>
          <cell r="B875" t="str">
            <v>INTERNET</v>
          </cell>
        </row>
        <row r="876">
          <cell r="A876">
            <v>7896</v>
          </cell>
          <cell r="B876" t="str">
            <v>PROYECTO BOGOTA</v>
          </cell>
        </row>
        <row r="877">
          <cell r="A877">
            <v>7897</v>
          </cell>
          <cell r="B877" t="str">
            <v>PROYECTO RED FIBRA OPTICA TORRES ISA</v>
          </cell>
        </row>
        <row r="878">
          <cell r="A878">
            <v>7898</v>
          </cell>
          <cell r="B878" t="str">
            <v>CENTRO DE COSTO NO EXISTE!!!</v>
          </cell>
        </row>
        <row r="879">
          <cell r="A879">
            <v>7900</v>
          </cell>
          <cell r="B879" t="str">
            <v>LINEAS PLAN 95-99</v>
          </cell>
        </row>
        <row r="880">
          <cell r="A880">
            <v>7901</v>
          </cell>
          <cell r="B880" t="str">
            <v>TRANSMISION PLAN 95-99</v>
          </cell>
        </row>
        <row r="881">
          <cell r="A881">
            <v>7902</v>
          </cell>
          <cell r="B881" t="str">
            <v>RDSI PLAN 95-99</v>
          </cell>
        </row>
        <row r="882">
          <cell r="A882">
            <v>7903</v>
          </cell>
          <cell r="B882" t="str">
            <v>EDIFICIOS PLAN MERCADEO</v>
          </cell>
        </row>
        <row r="883">
          <cell r="A883">
            <v>7904</v>
          </cell>
          <cell r="B883" t="str">
            <v>REPUESTOS EQUIPOS PRUEBA Y GENERACION</v>
          </cell>
        </row>
        <row r="884">
          <cell r="A884">
            <v>7905</v>
          </cell>
          <cell r="B884" t="str">
            <v>CENTRO DE COSTO NO EXISTE!!!</v>
          </cell>
        </row>
        <row r="885">
          <cell r="A885">
            <v>7915</v>
          </cell>
          <cell r="B885" t="str">
            <v>CAPACITACION TELEFONOS</v>
          </cell>
        </row>
        <row r="886">
          <cell r="A886">
            <v>7916</v>
          </cell>
          <cell r="B886" t="str">
            <v>CENTRO DE COSTO NO EXISTE!!!</v>
          </cell>
        </row>
        <row r="887">
          <cell r="A887">
            <v>7917</v>
          </cell>
          <cell r="B887" t="str">
            <v>DESPACHO DE CUADRILLAS</v>
          </cell>
        </row>
        <row r="888">
          <cell r="A888">
            <v>7918</v>
          </cell>
          <cell r="B888" t="str">
            <v>CENTRO DE COSTO NO EXISTE!!!</v>
          </cell>
        </row>
        <row r="889">
          <cell r="A889">
            <v>7919</v>
          </cell>
          <cell r="B889" t="str">
            <v>ANTICIPO PROGRAMAS GENERALES</v>
          </cell>
        </row>
        <row r="890">
          <cell r="A890">
            <v>7920</v>
          </cell>
          <cell r="B890" t="str">
            <v>EDIFICIOS PLANTA INT P.95-99</v>
          </cell>
        </row>
        <row r="891">
          <cell r="A891">
            <v>7921</v>
          </cell>
          <cell r="B891" t="str">
            <v>CENTRO DE COSTO NO EXISTE!!!</v>
          </cell>
        </row>
        <row r="892">
          <cell r="A892">
            <v>7922</v>
          </cell>
          <cell r="B892" t="str">
            <v>INTERCON ENTRE CENTRALES P 95-99</v>
          </cell>
        </row>
        <row r="893">
          <cell r="A893">
            <v>7923</v>
          </cell>
          <cell r="B893" t="str">
            <v>GABINETES INTERRUPTORES P.95-99</v>
          </cell>
        </row>
        <row r="894">
          <cell r="A894">
            <v>7924</v>
          </cell>
          <cell r="B894" t="str">
            <v>AIRE ACONDICIONADO PLAN 95-99</v>
          </cell>
        </row>
        <row r="895">
          <cell r="A895">
            <v>7925</v>
          </cell>
          <cell r="B895" t="str">
            <v>CENTRO DE COSTO NO EXISTE!!!</v>
          </cell>
        </row>
        <row r="896">
          <cell r="A896">
            <v>7927</v>
          </cell>
          <cell r="B896" t="str">
            <v>EQUIPO FIJO ORIENTE</v>
          </cell>
        </row>
        <row r="897">
          <cell r="A897">
            <v>7928</v>
          </cell>
          <cell r="B897" t="str">
            <v>CENTRO DE COSTO NO EXISTE!!!</v>
          </cell>
        </row>
        <row r="898">
          <cell r="A898">
            <v>7929</v>
          </cell>
          <cell r="B898" t="str">
            <v>ANTICIPOS TELEF PLAN 95-99</v>
          </cell>
        </row>
        <row r="899">
          <cell r="A899">
            <v>7930</v>
          </cell>
          <cell r="B899" t="str">
            <v>PLAN REPOSICION LINEAS</v>
          </cell>
        </row>
        <row r="900">
          <cell r="A900">
            <v>7931</v>
          </cell>
          <cell r="B900" t="str">
            <v>EQUIPOS TRANSMISION 35000 LINEAS</v>
          </cell>
        </row>
        <row r="901">
          <cell r="A901">
            <v>7932</v>
          </cell>
          <cell r="B901" t="str">
            <v>EQUIPOS COMPUTACION 98000 LINEAS</v>
          </cell>
        </row>
        <row r="902">
          <cell r="A902">
            <v>7933</v>
          </cell>
          <cell r="B902" t="str">
            <v>EQUIPOS TRANSMISION 98000 LINEAS</v>
          </cell>
        </row>
        <row r="903">
          <cell r="A903">
            <v>7934</v>
          </cell>
          <cell r="B903" t="str">
            <v>OTROS PLAN REVISION 95-99</v>
          </cell>
        </row>
        <row r="904">
          <cell r="A904">
            <v>7935</v>
          </cell>
          <cell r="B904" t="str">
            <v>CONMUTACION ESTRATOS BAJOS 2A. LINEA</v>
          </cell>
        </row>
        <row r="905">
          <cell r="A905">
            <v>7936</v>
          </cell>
          <cell r="B905" t="str">
            <v>CENTRO DE COSTO NO EXISTE!!!</v>
          </cell>
        </row>
        <row r="906">
          <cell r="A906">
            <v>7939</v>
          </cell>
          <cell r="B906" t="str">
            <v>ANTICIPOS PLANTA GENERAL</v>
          </cell>
        </row>
        <row r="907">
          <cell r="A907">
            <v>7940</v>
          </cell>
          <cell r="B907" t="str">
            <v>CENTRO DE COSTO NO EXISTE!!!</v>
          </cell>
        </row>
        <row r="908">
          <cell r="A908">
            <v>7949</v>
          </cell>
          <cell r="B908" t="str">
            <v>ANTICIPOS TELEFONOS PLAN 90-94</v>
          </cell>
        </row>
        <row r="909">
          <cell r="A909">
            <v>7950</v>
          </cell>
          <cell r="B909" t="str">
            <v>CENTRO DE COSTO NO EXISTE!!!</v>
          </cell>
        </row>
        <row r="910">
          <cell r="A910">
            <v>7970</v>
          </cell>
          <cell r="B910" t="str">
            <v>INGENIERIA OTROS PROGRAMAS</v>
          </cell>
        </row>
        <row r="911">
          <cell r="A911">
            <v>7971</v>
          </cell>
          <cell r="B911" t="str">
            <v>INGENIERIA PLAN REPOSICION</v>
          </cell>
        </row>
        <row r="912">
          <cell r="A912">
            <v>7972</v>
          </cell>
          <cell r="B912" t="str">
            <v>GASTOS FROS. EXIMBANK PLAN 95-99</v>
          </cell>
        </row>
        <row r="913">
          <cell r="A913">
            <v>7973</v>
          </cell>
          <cell r="B913" t="str">
            <v>CENTRO DE COSTO NO EXISTE!!!</v>
          </cell>
        </row>
        <row r="914">
          <cell r="A914">
            <v>7975</v>
          </cell>
          <cell r="B914" t="str">
            <v>GASTOS FINANCIEROS PLESSEY</v>
          </cell>
        </row>
        <row r="915">
          <cell r="A915">
            <v>7976</v>
          </cell>
          <cell r="B915" t="str">
            <v>CENTRO DE COSTO NO EXISTE!!!</v>
          </cell>
        </row>
        <row r="916">
          <cell r="A916">
            <v>7979</v>
          </cell>
          <cell r="B916" t="str">
            <v>AJUSTES POR INFLACION ORIENTE</v>
          </cell>
        </row>
        <row r="917">
          <cell r="A917">
            <v>7980</v>
          </cell>
          <cell r="B917" t="str">
            <v>CENTRO DE COSTO NO EXISTE!!!</v>
          </cell>
        </row>
        <row r="918">
          <cell r="A918">
            <v>7981</v>
          </cell>
          <cell r="B918" t="str">
            <v>AJUSTE PRESTAMO EXIMBANK (189K)</v>
          </cell>
        </row>
        <row r="919">
          <cell r="A919">
            <v>7982</v>
          </cell>
          <cell r="B919" t="str">
            <v>CENTRO DE COSTO NO EXISTE!!!</v>
          </cell>
        </row>
        <row r="920">
          <cell r="A920">
            <v>7987</v>
          </cell>
          <cell r="B920" t="str">
            <v>AJUSTE PRESTAMO PLESSEY</v>
          </cell>
        </row>
        <row r="921">
          <cell r="A921">
            <v>7988</v>
          </cell>
          <cell r="B921" t="str">
            <v>CENTRO DE COSTO NO EXISTE!!!</v>
          </cell>
        </row>
        <row r="922">
          <cell r="A922">
            <v>7994</v>
          </cell>
          <cell r="B922" t="str">
            <v>INGENIERIA PLAN DE DESARROLLO 2000-2002</v>
          </cell>
        </row>
        <row r="923">
          <cell r="A923">
            <v>7995</v>
          </cell>
          <cell r="B923" t="str">
            <v>AJUSTE PTMO. C. ITOH (161K)</v>
          </cell>
        </row>
        <row r="924">
          <cell r="A924">
            <v>7996</v>
          </cell>
          <cell r="B924" t="str">
            <v>INGENIERIA PLAN 1995-1999</v>
          </cell>
        </row>
        <row r="925">
          <cell r="A925">
            <v>7997</v>
          </cell>
          <cell r="B925" t="str">
            <v>INGENIERIA PROYECTO ORIENTE</v>
          </cell>
        </row>
        <row r="926">
          <cell r="A926">
            <v>7998</v>
          </cell>
          <cell r="B926" t="str">
            <v>CENTRO DE COSTO NO EXISTE!!!</v>
          </cell>
        </row>
        <row r="927">
          <cell r="A927">
            <v>7999</v>
          </cell>
          <cell r="B927" t="str">
            <v>INGENIERIA TELEFONOS VIA RADIO</v>
          </cell>
        </row>
        <row r="928">
          <cell r="A928">
            <v>8000</v>
          </cell>
          <cell r="B928" t="str">
            <v>SUB O.C. CANALIZACIONES VARIAS</v>
          </cell>
        </row>
        <row r="929">
          <cell r="A929">
            <v>8001</v>
          </cell>
          <cell r="B929" t="str">
            <v>SUB O.C. VARIAS</v>
          </cell>
        </row>
        <row r="930">
          <cell r="A930">
            <v>8002</v>
          </cell>
          <cell r="B930" t="str">
            <v>SUB LA CABAÑA O. C. EXPANSION</v>
          </cell>
        </row>
        <row r="931">
          <cell r="A931">
            <v>8003</v>
          </cell>
          <cell r="B931" t="str">
            <v>SUB ITAGUI O. C. EXPANSION</v>
          </cell>
        </row>
        <row r="932">
          <cell r="A932">
            <v>8004</v>
          </cell>
          <cell r="B932" t="str">
            <v>SUB. YARUMAL II O.C. AMPLIACION</v>
          </cell>
        </row>
        <row r="933">
          <cell r="A933">
            <v>8005</v>
          </cell>
          <cell r="B933" t="str">
            <v>SUB. SAN ANTONIO OO. CC. AMPLIACION</v>
          </cell>
        </row>
        <row r="934">
          <cell r="A934">
            <v>8006</v>
          </cell>
          <cell r="B934" t="str">
            <v>SUB. RIONEGRO O.C. AMPLIACION</v>
          </cell>
        </row>
        <row r="935">
          <cell r="A935">
            <v>8007</v>
          </cell>
          <cell r="B935" t="str">
            <v>SUB. SANTA ROSA O.C. AMPLIACION</v>
          </cell>
        </row>
        <row r="936">
          <cell r="A936">
            <v>8008</v>
          </cell>
          <cell r="B936" t="str">
            <v>SUB. O.C. CANALIZACIONES ITAGUI</v>
          </cell>
        </row>
        <row r="937">
          <cell r="A937">
            <v>8009</v>
          </cell>
          <cell r="B937" t="str">
            <v>SUB. O.C. CANALIZACIONES CABA\A</v>
          </cell>
        </row>
        <row r="938">
          <cell r="A938">
            <v>8010</v>
          </cell>
          <cell r="B938" t="str">
            <v>SUB. O.C. CANALIZACIONES ORIENTE</v>
          </cell>
        </row>
        <row r="939">
          <cell r="A939">
            <v>8011</v>
          </cell>
          <cell r="B939" t="str">
            <v>EXPANSION REDES PRIMARIAS</v>
          </cell>
        </row>
        <row r="940">
          <cell r="A940">
            <v>8012</v>
          </cell>
          <cell r="B940" t="str">
            <v>REPOSICION REDES PRIMARIAS</v>
          </cell>
        </row>
        <row r="941">
          <cell r="A941">
            <v>8013</v>
          </cell>
          <cell r="B941" t="str">
            <v>RECTIFICACION REDES SECUNDARIAS</v>
          </cell>
        </row>
        <row r="942">
          <cell r="A942">
            <v>8014</v>
          </cell>
          <cell r="B942" t="str">
            <v>EST. REDES PRIMARIAS AISLAD.</v>
          </cell>
        </row>
        <row r="943">
          <cell r="A943">
            <v>8015</v>
          </cell>
          <cell r="B943" t="str">
            <v>CENTRO DE INFORMACION REDES</v>
          </cell>
        </row>
        <row r="944">
          <cell r="A944">
            <v>8016</v>
          </cell>
          <cell r="B944" t="str">
            <v>RECONSTRUCCION TRANSFORMADORES</v>
          </cell>
        </row>
        <row r="945">
          <cell r="A945">
            <v>8017</v>
          </cell>
          <cell r="B945" t="str">
            <v>AUTOMATIZACION DE LA DISTRIBUC</v>
          </cell>
        </row>
        <row r="946">
          <cell r="A946">
            <v>8018</v>
          </cell>
          <cell r="B946" t="str">
            <v>REDES OTRAS ENTIDADES</v>
          </cell>
        </row>
        <row r="947">
          <cell r="A947">
            <v>8019</v>
          </cell>
          <cell r="B947" t="str">
            <v>SUB. RIO CLARO 110KV EXPANSION</v>
          </cell>
        </row>
        <row r="948">
          <cell r="A948">
            <v>8020</v>
          </cell>
          <cell r="B948" t="str">
            <v>REDES SUBESTACION ORIENTE II</v>
          </cell>
        </row>
        <row r="949">
          <cell r="A949">
            <v>8021</v>
          </cell>
          <cell r="B949" t="str">
            <v>REDES SUB LA CABANA</v>
          </cell>
        </row>
        <row r="950">
          <cell r="A950">
            <v>8022</v>
          </cell>
          <cell r="B950" t="str">
            <v>REDES SUB. ITAGUI</v>
          </cell>
        </row>
        <row r="951">
          <cell r="A951">
            <v>8023</v>
          </cell>
          <cell r="B951" t="str">
            <v>CONTRATOS REDES ZONA SUR</v>
          </cell>
        </row>
        <row r="952">
          <cell r="A952">
            <v>8024</v>
          </cell>
          <cell r="B952" t="str">
            <v>CONTRATO RED AEREA</v>
          </cell>
        </row>
        <row r="953">
          <cell r="A953">
            <v>8025</v>
          </cell>
          <cell r="B953" t="str">
            <v>ESTUDIOS DISTRIBUCION ENERGIA</v>
          </cell>
        </row>
        <row r="954">
          <cell r="A954">
            <v>8026</v>
          </cell>
          <cell r="B954" t="str">
            <v>CONTRATOS REDES ZONA NORTE</v>
          </cell>
        </row>
        <row r="955">
          <cell r="A955">
            <v>8027</v>
          </cell>
          <cell r="B955" t="str">
            <v>SUB. RIO CLARO 110KV OC EXPANSION</v>
          </cell>
        </row>
        <row r="956">
          <cell r="A956">
            <v>8028</v>
          </cell>
          <cell r="B956" t="str">
            <v>SUB. RIONEGRO AMPLIACION</v>
          </cell>
        </row>
        <row r="957">
          <cell r="A957">
            <v>8029</v>
          </cell>
          <cell r="B957" t="str">
            <v>INGENIERIA DISTRIBUCION 95-2000</v>
          </cell>
        </row>
        <row r="958">
          <cell r="A958">
            <v>8030</v>
          </cell>
          <cell r="B958" t="str">
            <v>SUB. STA ROSA AMPLIACION</v>
          </cell>
        </row>
        <row r="959">
          <cell r="A959">
            <v>8031</v>
          </cell>
          <cell r="B959" t="str">
            <v>S/E SAN CRISTOBAL AMPLIACION</v>
          </cell>
        </row>
        <row r="960">
          <cell r="A960">
            <v>8032</v>
          </cell>
          <cell r="B960" t="str">
            <v>SUB YARUMAL AMPLIACION</v>
          </cell>
        </row>
        <row r="961">
          <cell r="A961">
            <v>8033</v>
          </cell>
          <cell r="B961" t="str">
            <v>SUB ITAGUI EXPANSION</v>
          </cell>
        </row>
        <row r="962">
          <cell r="A962">
            <v>8034</v>
          </cell>
          <cell r="B962" t="str">
            <v>SUB LA CABANA EXPANSION</v>
          </cell>
        </row>
        <row r="963">
          <cell r="A963">
            <v>8035</v>
          </cell>
          <cell r="B963" t="str">
            <v>SUB REP/RESP TRANSF POTENCIA</v>
          </cell>
        </row>
        <row r="964">
          <cell r="A964">
            <v>8036</v>
          </cell>
          <cell r="B964" t="str">
            <v>SUB REP/RESP INTERRUP SECCIONAD</v>
          </cell>
        </row>
        <row r="965">
          <cell r="A965">
            <v>8037</v>
          </cell>
          <cell r="B965" t="str">
            <v>SUB REP/RESP TRANSFORMAD MEDIDA</v>
          </cell>
        </row>
        <row r="966">
          <cell r="A966">
            <v>8038</v>
          </cell>
          <cell r="B966" t="str">
            <v>SUB REP/RESP PARARRAYOS</v>
          </cell>
        </row>
        <row r="967">
          <cell r="A967">
            <v>8039</v>
          </cell>
          <cell r="B967" t="str">
            <v>ANTICIPOS DISTRIBUCION 95 - 2000</v>
          </cell>
        </row>
        <row r="968">
          <cell r="A968">
            <v>8040</v>
          </cell>
          <cell r="B968" t="str">
            <v>SUB REFUERZO PROTECCIONES VARIAS</v>
          </cell>
        </row>
        <row r="969">
          <cell r="A969">
            <v>8041</v>
          </cell>
          <cell r="B969" t="str">
            <v>SUB REFUERZO PROTECC COMUNICAC.</v>
          </cell>
        </row>
        <row r="970">
          <cell r="A970">
            <v>8042</v>
          </cell>
          <cell r="B970" t="str">
            <v>SUB REP/RESP VARIAS</v>
          </cell>
        </row>
        <row r="971">
          <cell r="A971">
            <v>8043</v>
          </cell>
          <cell r="B971" t="str">
            <v>OBRAS CIVILES VARIAS PESD</v>
          </cell>
        </row>
        <row r="972">
          <cell r="A972">
            <v>8044</v>
          </cell>
          <cell r="B972" t="str">
            <v>SUBESTACION SANTA ANA</v>
          </cell>
        </row>
        <row r="973">
          <cell r="A973">
            <v>8045</v>
          </cell>
          <cell r="B973" t="str">
            <v>GASTOS FINANCIEROS DISTRIBUCION</v>
          </cell>
        </row>
        <row r="974">
          <cell r="A974">
            <v>8046</v>
          </cell>
          <cell r="B974" t="str">
            <v>EMPALME ZAMORA-CABANA-OCCIDENTE</v>
          </cell>
        </row>
        <row r="975">
          <cell r="A975">
            <v>8047</v>
          </cell>
          <cell r="B975" t="str">
            <v>EMPALME BELEN ITAGUI ANCON SUR</v>
          </cell>
        </row>
        <row r="976">
          <cell r="A976">
            <v>8048</v>
          </cell>
          <cell r="B976" t="str">
            <v>INTERCONEXION 110 KV SUB BELLO</v>
          </cell>
        </row>
        <row r="977">
          <cell r="A977">
            <v>8049</v>
          </cell>
          <cell r="B977" t="str">
            <v>AJ POR INFL PL EXP SUB DIST FUT</v>
          </cell>
        </row>
        <row r="978">
          <cell r="A978">
            <v>8050</v>
          </cell>
          <cell r="B978" t="str">
            <v>CENTRO DE COSTO NO EXISTE!!!</v>
          </cell>
        </row>
        <row r="979">
          <cell r="A979">
            <v>8051</v>
          </cell>
          <cell r="B979" t="str">
            <v>INVERSIONES ANALISIS TECNICO</v>
          </cell>
        </row>
        <row r="980">
          <cell r="A980">
            <v>8052</v>
          </cell>
          <cell r="B980" t="str">
            <v>INVERSIONES Y MEJORAS ZONA METROPOLITANA</v>
          </cell>
        </row>
        <row r="981">
          <cell r="A981">
            <v>8053</v>
          </cell>
          <cell r="B981" t="str">
            <v>INVERSIONES Y MEJORAS ZONA GUADALUPE</v>
          </cell>
        </row>
        <row r="982">
          <cell r="A982">
            <v>8054</v>
          </cell>
          <cell r="B982" t="str">
            <v>INVERSIONES Y MEJORAS ZONA GUATAPE</v>
          </cell>
        </row>
        <row r="983">
          <cell r="A983">
            <v>8055</v>
          </cell>
          <cell r="B983" t="str">
            <v>INVERSIONES Y MEJORAS SECCION PLAYAS</v>
          </cell>
        </row>
        <row r="984">
          <cell r="A984">
            <v>8056</v>
          </cell>
          <cell r="B984" t="str">
            <v>INVERSIONES OPERACIÓN CENTRO CONTROL</v>
          </cell>
        </row>
        <row r="985">
          <cell r="A985">
            <v>8057</v>
          </cell>
          <cell r="B985" t="str">
            <v>INVERSIONES MANTENIMIENTO CENTRO CONTROL</v>
          </cell>
        </row>
        <row r="986">
          <cell r="A986">
            <v>8058</v>
          </cell>
          <cell r="B986" t="str">
            <v>REHABILITACION CENTRAL GUATAPE</v>
          </cell>
        </row>
        <row r="987">
          <cell r="A987">
            <v>8059</v>
          </cell>
          <cell r="B987" t="str">
            <v>PROYECTOS COMUNICACIONES</v>
          </cell>
        </row>
        <row r="988">
          <cell r="A988">
            <v>8060</v>
          </cell>
          <cell r="B988" t="str">
            <v>CENTRO DE COSTO NO EXISTE!!!</v>
          </cell>
        </row>
        <row r="989">
          <cell r="A989">
            <v>8061</v>
          </cell>
          <cell r="B989" t="str">
            <v>EQUIPOS PROD ENERGIA FUTURO</v>
          </cell>
        </row>
        <row r="990">
          <cell r="A990">
            <v>8062</v>
          </cell>
          <cell r="B990" t="str">
            <v>REPOSIC EG TRON G1P 3 Y PB</v>
          </cell>
        </row>
        <row r="991">
          <cell r="A991">
            <v>8063</v>
          </cell>
          <cell r="B991" t="str">
            <v>MODERNIZACION GUATAPE</v>
          </cell>
        </row>
        <row r="992">
          <cell r="A992">
            <v>8064</v>
          </cell>
          <cell r="B992" t="str">
            <v>OBRAS VARIAS DIVISION TECNICA FUTURA</v>
          </cell>
        </row>
        <row r="993">
          <cell r="A993">
            <v>8065</v>
          </cell>
          <cell r="B993" t="str">
            <v>CENTRO DE COSTO NO EXISTE!!!</v>
          </cell>
        </row>
        <row r="994">
          <cell r="A994">
            <v>8066</v>
          </cell>
          <cell r="B994" t="str">
            <v>OBRAS VARIAS MINICENTRAL PAJARITO</v>
          </cell>
        </row>
        <row r="995">
          <cell r="A995">
            <v>8067</v>
          </cell>
          <cell r="B995" t="str">
            <v>OBRAS VARIANTE MINICENTRAL DOLORES</v>
          </cell>
        </row>
        <row r="996">
          <cell r="A996">
            <v>8068</v>
          </cell>
          <cell r="B996" t="str">
            <v>DISENO PAJARITO DOLORES</v>
          </cell>
        </row>
        <row r="997">
          <cell r="A997">
            <v>8069</v>
          </cell>
          <cell r="B997" t="str">
            <v>CENTRO DE COSTO NO EXISTE!!!</v>
          </cell>
        </row>
        <row r="998">
          <cell r="A998">
            <v>8071</v>
          </cell>
          <cell r="B998" t="str">
            <v>EQUIPOS MINICENTRAL PAJARITO</v>
          </cell>
        </row>
        <row r="999">
          <cell r="A999">
            <v>8072</v>
          </cell>
          <cell r="B999" t="str">
            <v>EQUIPOS MINICENTRAL DOLORES</v>
          </cell>
        </row>
        <row r="1000">
          <cell r="A1000">
            <v>8073</v>
          </cell>
          <cell r="B1000" t="str">
            <v>INTERVENTORIA PAJARITO DOLORES</v>
          </cell>
        </row>
        <row r="1001">
          <cell r="A1001">
            <v>8074</v>
          </cell>
          <cell r="B1001" t="str">
            <v>INGEN. Y ADMON. MINICENTRALES</v>
          </cell>
        </row>
        <row r="1002">
          <cell r="A1002">
            <v>8075</v>
          </cell>
          <cell r="B1002" t="str">
            <v>CENTRO DE COSTO NO EXISTE!!!</v>
          </cell>
        </row>
        <row r="1003">
          <cell r="A1003">
            <v>8079</v>
          </cell>
          <cell r="B1003" t="str">
            <v>ANTICIPO MINICENTRALES PAJARITO DOLORES</v>
          </cell>
        </row>
        <row r="1004">
          <cell r="A1004">
            <v>8080</v>
          </cell>
          <cell r="B1004" t="str">
            <v>CENTRO DE COSTO NO EXISTE!!!</v>
          </cell>
        </row>
        <row r="1005">
          <cell r="A1005">
            <v>8089</v>
          </cell>
          <cell r="B1005" t="str">
            <v>ANTIC GENERACION Y REPOS. EQ. FUTUROS</v>
          </cell>
        </row>
        <row r="1006">
          <cell r="A1006">
            <v>8090</v>
          </cell>
          <cell r="B1006" t="str">
            <v>CENTRO DE COSTO NO EXISTE!!!</v>
          </cell>
        </row>
        <row r="1007">
          <cell r="A1007">
            <v>8098</v>
          </cell>
          <cell r="B1007" t="str">
            <v>ING. Y ADMON. GENER. Y REP. EQUIPOS FUT.</v>
          </cell>
        </row>
        <row r="1008">
          <cell r="A1008">
            <v>8099</v>
          </cell>
          <cell r="B1008" t="str">
            <v>CENTRO DE COSTO NO EXISTE!!!</v>
          </cell>
        </row>
        <row r="1009">
          <cell r="A1009">
            <v>8102</v>
          </cell>
          <cell r="B1009" t="str">
            <v>ING PLAN REDUCC PERDIDAS 95 - 2000</v>
          </cell>
        </row>
        <row r="1010">
          <cell r="A1010">
            <v>8103</v>
          </cell>
          <cell r="B1010" t="str">
            <v>INSTALACION CONTADORES H.V. PERDIDAS</v>
          </cell>
        </row>
        <row r="1011">
          <cell r="A1011">
            <v>8104</v>
          </cell>
          <cell r="B1011" t="str">
            <v>CONTADORES SECCION MEDICION</v>
          </cell>
        </row>
        <row r="1012">
          <cell r="A1012">
            <v>8105</v>
          </cell>
          <cell r="B1012" t="str">
            <v>INSTALACION CONTADORES H.V.</v>
          </cell>
        </row>
        <row r="1013">
          <cell r="A1013">
            <v>8106</v>
          </cell>
          <cell r="B1013" t="str">
            <v>INSTALACION CONTADORES PRPF</v>
          </cell>
        </row>
        <row r="1014">
          <cell r="A1014">
            <v>8107</v>
          </cell>
          <cell r="B1014" t="str">
            <v>REDES PRIMARIAS HV</v>
          </cell>
        </row>
        <row r="1015">
          <cell r="A1015">
            <v>8108</v>
          </cell>
          <cell r="B1015" t="str">
            <v>REDES SECUNDARIAS HV</v>
          </cell>
        </row>
        <row r="1016">
          <cell r="A1016">
            <v>8109</v>
          </cell>
          <cell r="B1016" t="str">
            <v>TRANSFORMADORES HV</v>
          </cell>
        </row>
        <row r="1017">
          <cell r="A1017">
            <v>8110</v>
          </cell>
          <cell r="B1017" t="str">
            <v>EXPANSION REDES D.E.N.</v>
          </cell>
        </row>
        <row r="1018">
          <cell r="A1018">
            <v>8111</v>
          </cell>
          <cell r="B1018" t="str">
            <v>EXPANSION REDES D.E.C.</v>
          </cell>
        </row>
        <row r="1019">
          <cell r="A1019">
            <v>8112</v>
          </cell>
          <cell r="B1019" t="str">
            <v>EXPANSION REDES D.E.S.</v>
          </cell>
        </row>
        <row r="1020">
          <cell r="A1020">
            <v>8113</v>
          </cell>
          <cell r="B1020" t="str">
            <v>LEVANT. INFORMACION DISTRIBUCION</v>
          </cell>
        </row>
        <row r="1021">
          <cell r="A1021">
            <v>8114</v>
          </cell>
          <cell r="B1021" t="str">
            <v>CONTRATOS UNIDAD GESTION Y ANALISIS D.E.</v>
          </cell>
        </row>
        <row r="1022">
          <cell r="A1022">
            <v>8115</v>
          </cell>
          <cell r="B1022" t="str">
            <v>CONTRATOS DEPTO. CONTROL ENERGIA</v>
          </cell>
        </row>
        <row r="1023">
          <cell r="A1023">
            <v>8116</v>
          </cell>
          <cell r="B1023" t="str">
            <v>CENTRO DE COSTO NO EXISTE!!!</v>
          </cell>
        </row>
        <row r="1024">
          <cell r="A1024">
            <v>8117</v>
          </cell>
          <cell r="B1024" t="str">
            <v>PILAS PUBLICAS</v>
          </cell>
        </row>
        <row r="1025">
          <cell r="A1025">
            <v>8118</v>
          </cell>
          <cell r="B1025" t="str">
            <v>RECONSTRUCCION TRANSFORMADOR BARBOSA</v>
          </cell>
        </row>
        <row r="1026">
          <cell r="A1026">
            <v>8119</v>
          </cell>
          <cell r="B1026" t="str">
            <v>CENTRO DE COSTO NO EXISTE!!!</v>
          </cell>
        </row>
        <row r="1027">
          <cell r="A1027">
            <v>8120</v>
          </cell>
          <cell r="B1027" t="str">
            <v>SISTEMA TELEMEDIDA DISTRIBUCION</v>
          </cell>
        </row>
        <row r="1028">
          <cell r="A1028">
            <v>8121</v>
          </cell>
          <cell r="B1028" t="str">
            <v>SIST TELEMEDIDA GENERACION</v>
          </cell>
        </row>
        <row r="1029">
          <cell r="A1029">
            <v>8122</v>
          </cell>
          <cell r="B1029" t="str">
            <v>SUB CENTRO CONTROL TELEMEDIDA D.</v>
          </cell>
        </row>
        <row r="1030">
          <cell r="A1030">
            <v>8123</v>
          </cell>
          <cell r="B1030" t="str">
            <v>SUB CENTRO CONTROL TELEMEDIDA G.</v>
          </cell>
        </row>
        <row r="1031">
          <cell r="A1031">
            <v>8124</v>
          </cell>
          <cell r="B1031" t="str">
            <v>CENTRO DE COSTO NO EXISTE!!!</v>
          </cell>
        </row>
        <row r="1032">
          <cell r="A1032">
            <v>8129</v>
          </cell>
          <cell r="B1032" t="str">
            <v>INGENIERIA TELEMEDIDA</v>
          </cell>
        </row>
        <row r="1033">
          <cell r="A1033">
            <v>8130</v>
          </cell>
          <cell r="B1033" t="str">
            <v>OBRAS CIVILES SIST. TELEMEDIDA DISTRIB</v>
          </cell>
        </row>
        <row r="1034">
          <cell r="A1034">
            <v>8131</v>
          </cell>
          <cell r="B1034" t="str">
            <v>OBRAS CIVILES SIST. TELEMEDIDA GENERACION</v>
          </cell>
        </row>
        <row r="1035">
          <cell r="A1035">
            <v>8132</v>
          </cell>
          <cell r="B1035" t="str">
            <v>CENTRO DE COSTO NO EXISTE!!!</v>
          </cell>
        </row>
        <row r="1036">
          <cell r="A1036">
            <v>8135</v>
          </cell>
          <cell r="B1036" t="str">
            <v>CONSULTORIA TELEMEDIDA DISTRIBUCION</v>
          </cell>
        </row>
        <row r="1037">
          <cell r="A1037">
            <v>8136</v>
          </cell>
          <cell r="B1037" t="str">
            <v>CONSULTORIA TELEMEDIDA GENERACION</v>
          </cell>
        </row>
        <row r="1038">
          <cell r="A1038">
            <v>8137</v>
          </cell>
          <cell r="B1038" t="str">
            <v>CENTRO DE COSTO NO EXISTE!!!</v>
          </cell>
        </row>
        <row r="1039">
          <cell r="A1039">
            <v>8139</v>
          </cell>
          <cell r="B1039" t="str">
            <v>ANT REDUCCION PERDIDAS FUTURO</v>
          </cell>
        </row>
        <row r="1040">
          <cell r="A1040">
            <v>8140</v>
          </cell>
          <cell r="B1040" t="str">
            <v>CENTRO DE COSTO NO EXISTE!!!</v>
          </cell>
        </row>
        <row r="1041">
          <cell r="A1041">
            <v>8142</v>
          </cell>
          <cell r="B1041" t="str">
            <v>GASTOS FCIEROS. P.R.P.F.</v>
          </cell>
        </row>
        <row r="1042">
          <cell r="A1042">
            <v>8143</v>
          </cell>
          <cell r="B1042" t="str">
            <v>CENTRO DE COSTO NO EXISTE!!!</v>
          </cell>
        </row>
        <row r="1043">
          <cell r="A1043">
            <v>8149</v>
          </cell>
          <cell r="B1043" t="str">
            <v>AJ POR INFL PL RED PERD FUT</v>
          </cell>
        </row>
        <row r="1044">
          <cell r="A1044">
            <v>8150</v>
          </cell>
          <cell r="B1044" t="str">
            <v>CONTR. PRESTACION SERVICIOS REDES</v>
          </cell>
        </row>
        <row r="1045">
          <cell r="A1045">
            <v>8151</v>
          </cell>
          <cell r="B1045" t="str">
            <v>CENTRO DE COSTO NO EXISTE!!!</v>
          </cell>
        </row>
        <row r="1046">
          <cell r="A1046">
            <v>8152</v>
          </cell>
          <cell r="B1046" t="str">
            <v>OBRA PUBLICA ZONA NORTE</v>
          </cell>
        </row>
        <row r="1047">
          <cell r="A1047">
            <v>8153</v>
          </cell>
          <cell r="B1047" t="str">
            <v>OBRA PUBLICA ZONA SUR</v>
          </cell>
        </row>
        <row r="1048">
          <cell r="A1048">
            <v>8154</v>
          </cell>
          <cell r="B1048" t="str">
            <v>CONTRATOS REPARACION DANOS</v>
          </cell>
        </row>
        <row r="1049">
          <cell r="A1049">
            <v>8155</v>
          </cell>
          <cell r="B1049" t="str">
            <v>OBRA PUBLICA ZONA SUR ALUMBRADO PUBLICO</v>
          </cell>
        </row>
        <row r="1050">
          <cell r="A1050">
            <v>8156</v>
          </cell>
          <cell r="B1050" t="str">
            <v>CONTRATOS MANTENIMIENTO</v>
          </cell>
        </row>
        <row r="1051">
          <cell r="A1051">
            <v>8157</v>
          </cell>
          <cell r="B1051" t="str">
            <v>CLIENTES ALUMBRADO PUBLICO</v>
          </cell>
        </row>
        <row r="1052">
          <cell r="A1052">
            <v>8158</v>
          </cell>
          <cell r="B1052" t="str">
            <v>ATENCION CLIENTE MMTO. PREVENTIVO RURAL</v>
          </cell>
        </row>
        <row r="1053">
          <cell r="A1053">
            <v>8159</v>
          </cell>
          <cell r="B1053" t="str">
            <v>CONTRATO REDES SUBTERRANEAS</v>
          </cell>
        </row>
        <row r="1054">
          <cell r="A1054">
            <v>8160</v>
          </cell>
          <cell r="B1054" t="str">
            <v>SERVICIOS EXTERNOS NORTE</v>
          </cell>
        </row>
        <row r="1055">
          <cell r="A1055">
            <v>8161</v>
          </cell>
          <cell r="B1055" t="str">
            <v>SERVICIOS EXTERNOS SUR</v>
          </cell>
        </row>
        <row r="1056">
          <cell r="A1056">
            <v>8162</v>
          </cell>
          <cell r="B1056" t="str">
            <v>SERVICIOS EXTERNOS CENTRO</v>
          </cell>
        </row>
        <row r="1057">
          <cell r="A1057">
            <v>8163</v>
          </cell>
          <cell r="B1057" t="str">
            <v>CENTRO DE COSTO NO EXISTE!!!</v>
          </cell>
        </row>
        <row r="1058">
          <cell r="A1058">
            <v>8168</v>
          </cell>
          <cell r="B1058" t="str">
            <v>PORTAFOLIO SERV. UN. CONTROLES Y PROTEC.</v>
          </cell>
        </row>
        <row r="1059">
          <cell r="A1059">
            <v>8169</v>
          </cell>
          <cell r="B1059" t="str">
            <v>PORTAFOLIO SERVICIOS DEPTO. MTTO. SUBES.</v>
          </cell>
        </row>
        <row r="1060">
          <cell r="A1060">
            <v>8170</v>
          </cell>
          <cell r="B1060" t="str">
            <v>PORTAFOLIO SERVICIOS DEPTO MTTO. EQUIPOS</v>
          </cell>
        </row>
        <row r="1061">
          <cell r="A1061">
            <v>8171</v>
          </cell>
          <cell r="B1061" t="str">
            <v>CENTRO DE COSTO NO EXISTE!!!</v>
          </cell>
        </row>
        <row r="1062">
          <cell r="A1062">
            <v>8172</v>
          </cell>
          <cell r="B1062" t="str">
            <v>PORTAFOLIO SERVICIOS LINEA PREFERENCIAL</v>
          </cell>
        </row>
        <row r="1063">
          <cell r="A1063">
            <v>8173</v>
          </cell>
          <cell r="B1063" t="str">
            <v>PORTAFOLIO SERVICIOS DIVISION MONTALES</v>
          </cell>
        </row>
        <row r="1064">
          <cell r="A1064">
            <v>8174</v>
          </cell>
          <cell r="B1064" t="str">
            <v>CENTRO DE COSTO NO EXISTE!!!</v>
          </cell>
        </row>
        <row r="1065">
          <cell r="A1065">
            <v>8202</v>
          </cell>
          <cell r="B1065" t="str">
            <v>INTERVENTORIA DISTRIBUCION GAS</v>
          </cell>
        </row>
        <row r="1066">
          <cell r="A1066">
            <v>8203</v>
          </cell>
          <cell r="B1066" t="str">
            <v>DISENO DISTRIB Y CONTROL GAS</v>
          </cell>
        </row>
        <row r="1067">
          <cell r="A1067">
            <v>8204</v>
          </cell>
          <cell r="B1067" t="str">
            <v>CENTRO DE COSTO NO EXISTE!!!</v>
          </cell>
        </row>
        <row r="1068">
          <cell r="A1068">
            <v>8209</v>
          </cell>
          <cell r="B1068" t="str">
            <v>INGENIERIA PROYECTO GAS</v>
          </cell>
        </row>
        <row r="1069">
          <cell r="A1069">
            <v>8210</v>
          </cell>
          <cell r="B1069" t="str">
            <v>CENTRO DE COSTO NO EXISTE!!!</v>
          </cell>
        </row>
        <row r="1070">
          <cell r="A1070">
            <v>8211</v>
          </cell>
          <cell r="B1070" t="str">
            <v>CENTRO CONTROL EQUIPOS</v>
          </cell>
        </row>
        <row r="1071">
          <cell r="A1071">
            <v>8212</v>
          </cell>
          <cell r="B1071" t="str">
            <v>TUBERIA CENTRAL ACERO ACCESOR</v>
          </cell>
        </row>
        <row r="1072">
          <cell r="A1072">
            <v>8213</v>
          </cell>
          <cell r="B1072" t="str">
            <v>ESTACION EQUIPOS</v>
          </cell>
        </row>
        <row r="1073">
          <cell r="A1073">
            <v>8214</v>
          </cell>
          <cell r="B1073" t="str">
            <v>CENTRO DE COSTO NO EXISTE!!!</v>
          </cell>
        </row>
        <row r="1074">
          <cell r="A1074">
            <v>8221</v>
          </cell>
          <cell r="B1074" t="str">
            <v>REDES DISTRIBUCION MEDIA PRESION</v>
          </cell>
        </row>
        <row r="1075">
          <cell r="A1075">
            <v>8222</v>
          </cell>
          <cell r="B1075" t="str">
            <v>CENTRO DE COSTO NO EXISTE!!!</v>
          </cell>
        </row>
        <row r="1076">
          <cell r="A1076">
            <v>8223</v>
          </cell>
          <cell r="B1076" t="str">
            <v>OBRA CIVIL CENTRO DE CONTROL</v>
          </cell>
        </row>
        <row r="1077">
          <cell r="A1077">
            <v>8224</v>
          </cell>
          <cell r="B1077" t="str">
            <v>OBRA CIVIL ESTAC TERMINALES</v>
          </cell>
        </row>
        <row r="1078">
          <cell r="A1078">
            <v>8225</v>
          </cell>
          <cell r="B1078" t="str">
            <v>OBRA CIVIL TUBERIA CENTRAL ACERO</v>
          </cell>
        </row>
        <row r="1079">
          <cell r="A1079">
            <v>8226</v>
          </cell>
          <cell r="B1079" t="str">
            <v>CENTRO DE COSTO NO EXISTE!!!</v>
          </cell>
        </row>
        <row r="1080">
          <cell r="A1080">
            <v>8230</v>
          </cell>
          <cell r="B1080" t="str">
            <v>REDES PLAN PILOTO GAS HV</v>
          </cell>
        </row>
        <row r="1081">
          <cell r="A1081">
            <v>8231</v>
          </cell>
          <cell r="B1081" t="str">
            <v>MEDIDORES GAS</v>
          </cell>
        </row>
        <row r="1082">
          <cell r="A1082">
            <v>8232</v>
          </cell>
          <cell r="B1082" t="str">
            <v>CENTRO DE COSTO NO EXISTE!!!</v>
          </cell>
        </row>
        <row r="1083">
          <cell r="A1083">
            <v>8235</v>
          </cell>
          <cell r="B1083" t="str">
            <v>DESPACHO CUADRILLAS GAS</v>
          </cell>
        </row>
        <row r="1084">
          <cell r="A1084">
            <v>8236</v>
          </cell>
          <cell r="B1084" t="str">
            <v>CENTRO DE COSTO NO EXISTE!!!</v>
          </cell>
        </row>
        <row r="1085">
          <cell r="A1085">
            <v>8241</v>
          </cell>
          <cell r="B1085" t="str">
            <v>MASIFICACION GAS</v>
          </cell>
        </row>
        <row r="1086">
          <cell r="A1086">
            <v>8243</v>
          </cell>
          <cell r="B1086" t="str">
            <v>CENTRO DE COSTO NO EXISTE!!!</v>
          </cell>
        </row>
        <row r="1087">
          <cell r="A1087">
            <v>8279</v>
          </cell>
          <cell r="B1087" t="str">
            <v>ANTICIPOS PROYECTO GAS</v>
          </cell>
        </row>
        <row r="1088">
          <cell r="A1088">
            <v>8280</v>
          </cell>
          <cell r="B1088" t="str">
            <v>GASTOS FROS FONADE GAS</v>
          </cell>
        </row>
        <row r="1089">
          <cell r="A1089">
            <v>8281</v>
          </cell>
          <cell r="B1089" t="str">
            <v>GASTOS FINANANCIEROS GAS EXIMBANK.</v>
          </cell>
        </row>
        <row r="1090">
          <cell r="A1090">
            <v>8282</v>
          </cell>
          <cell r="B1090" t="str">
            <v>GASTOS FINANCIEROS CITIBANK-GAS</v>
          </cell>
        </row>
        <row r="1091">
          <cell r="A1091">
            <v>8283</v>
          </cell>
          <cell r="B1091" t="str">
            <v>CENTRO DE COSTO NO EXISTE!!!</v>
          </cell>
        </row>
        <row r="1092">
          <cell r="A1092">
            <v>8293</v>
          </cell>
          <cell r="B1092" t="str">
            <v>AJ POR INFL PROYECTO GAS</v>
          </cell>
        </row>
        <row r="1093">
          <cell r="A1093">
            <v>8294</v>
          </cell>
          <cell r="B1093" t="str">
            <v>AJUSTES POR DIFERENCIA EN CAMBIO</v>
          </cell>
        </row>
        <row r="1094">
          <cell r="A1094">
            <v>8295</v>
          </cell>
          <cell r="B1094" t="str">
            <v>CENTRO DE COSTO NO EXISTE!!!</v>
          </cell>
        </row>
        <row r="1095">
          <cell r="A1095">
            <v>8300</v>
          </cell>
          <cell r="B1095" t="str">
            <v>SUB EL SAALTO 220 KV O. C. EXPANSION</v>
          </cell>
        </row>
        <row r="1096">
          <cell r="A1096">
            <v>8301</v>
          </cell>
          <cell r="B1096" t="str">
            <v>SUB BELLO 220 KV O. C. EXPANSION</v>
          </cell>
        </row>
        <row r="1097">
          <cell r="A1097">
            <v>8302</v>
          </cell>
          <cell r="B1097" t="str">
            <v>SUB BARBOSA 220 KV O. C. AMPLIACION</v>
          </cell>
        </row>
        <row r="1098">
          <cell r="A1098">
            <v>8303</v>
          </cell>
          <cell r="B1098" t="str">
            <v>SUB GUADALUPE IV 220 KV O. C. AMPLIAC.</v>
          </cell>
        </row>
        <row r="1099">
          <cell r="A1099">
            <v>8304</v>
          </cell>
          <cell r="B1099" t="str">
            <v>SUB COLOMBIA 110 KV O.C. AMPLIAC</v>
          </cell>
        </row>
        <row r="1100">
          <cell r="A1100">
            <v>8305</v>
          </cell>
          <cell r="B1100" t="str">
            <v>SUB GIRARDOTA 110 KV O.C. AMPLIAC.</v>
          </cell>
        </row>
        <row r="1101">
          <cell r="A1101">
            <v>8306</v>
          </cell>
          <cell r="B1101" t="str">
            <v>SUB. MALENA 220KV OC RECONFIG.</v>
          </cell>
        </row>
        <row r="1102">
          <cell r="A1102">
            <v>8307</v>
          </cell>
          <cell r="B1102" t="str">
            <v>SUB. MALENA 220KV RECONFIG.</v>
          </cell>
        </row>
        <row r="1103">
          <cell r="A1103">
            <v>8308</v>
          </cell>
          <cell r="B1103" t="str">
            <v>CENTRO DE COSTO NO EXISTE!!!</v>
          </cell>
        </row>
        <row r="1104">
          <cell r="A1104">
            <v>8310</v>
          </cell>
          <cell r="B1104" t="str">
            <v>EMPALME BELLO P.BLANCAS VILLA HERMOSA</v>
          </cell>
        </row>
        <row r="1105">
          <cell r="A1105">
            <v>8311</v>
          </cell>
          <cell r="B1105" t="str">
            <v>EMPALME RIOGRANDE GIRARDOTA PL BIENAL</v>
          </cell>
        </row>
        <row r="1106">
          <cell r="A1106">
            <v>8312</v>
          </cell>
          <cell r="B1106" t="str">
            <v>EMPALME OCC COLOMBIA P. BLANCAS</v>
          </cell>
        </row>
        <row r="1107">
          <cell r="A1107">
            <v>8313</v>
          </cell>
          <cell r="B1107" t="str">
            <v>LIN EL SALTO BARBOSA C.T. 220 KV</v>
          </cell>
        </row>
        <row r="1108">
          <cell r="A1108">
            <v>8314</v>
          </cell>
          <cell r="B1108" t="str">
            <v>LINEA TASAJERA BELLO 220 KV</v>
          </cell>
        </row>
        <row r="1109">
          <cell r="A1109">
            <v>8312</v>
          </cell>
          <cell r="B1109" t="str">
            <v>CENTRO DE COSTO NO EXISTE!!!</v>
          </cell>
        </row>
        <row r="1110">
          <cell r="A1110">
            <v>8316</v>
          </cell>
          <cell r="B1110" t="str">
            <v>LINEA EL SALTO-YARUMAL I Y II</v>
          </cell>
        </row>
        <row r="1111">
          <cell r="A1111">
            <v>8317</v>
          </cell>
          <cell r="B1111" t="str">
            <v>CENTRO DE COSTO NO EXISTE!!!</v>
          </cell>
        </row>
        <row r="1112">
          <cell r="A1112">
            <v>8319</v>
          </cell>
          <cell r="B1112" t="str">
            <v>LINEA GUADALUPE IV-SALTO III REPLANTEO</v>
          </cell>
        </row>
        <row r="1113">
          <cell r="A1113">
            <v>8320</v>
          </cell>
          <cell r="B1113" t="str">
            <v>ING.EXP,TRANS,TRANSF 91-2000</v>
          </cell>
        </row>
        <row r="1114">
          <cell r="A1114">
            <v>8321</v>
          </cell>
          <cell r="B1114" t="str">
            <v>CENTRO DE COSTO NO EXISTE!!!</v>
          </cell>
        </row>
        <row r="1115">
          <cell r="A1115">
            <v>8325</v>
          </cell>
          <cell r="B1115" t="str">
            <v>GASTOS FCIEROS EXP,TRAS,TRANSF</v>
          </cell>
        </row>
        <row r="1116">
          <cell r="A1116">
            <v>8326</v>
          </cell>
          <cell r="B1116" t="str">
            <v>CENTRO DE COSTO NO EXISTE!!!</v>
          </cell>
        </row>
        <row r="1117">
          <cell r="A1117">
            <v>8327</v>
          </cell>
          <cell r="B1117" t="str">
            <v>SUB EL SALTO 220 KV EXPANSION</v>
          </cell>
        </row>
        <row r="1118">
          <cell r="A1118">
            <v>8328</v>
          </cell>
          <cell r="B1118" t="str">
            <v>SUB BELLO 220 KV EXPANSION</v>
          </cell>
        </row>
        <row r="1119">
          <cell r="A1119">
            <v>8329</v>
          </cell>
          <cell r="B1119" t="str">
            <v>SUB BARBOSA 220 KV AMPLIACION</v>
          </cell>
        </row>
        <row r="1120">
          <cell r="A1120">
            <v>8330</v>
          </cell>
          <cell r="B1120" t="str">
            <v>SUB GUADALUPE IV 220 KV AMPLIACION</v>
          </cell>
        </row>
        <row r="1121">
          <cell r="A1121">
            <v>8331</v>
          </cell>
          <cell r="B1121" t="str">
            <v>SUB COLOMBIA 110 KV AMPLIACION</v>
          </cell>
        </row>
        <row r="1122">
          <cell r="A1122">
            <v>8332</v>
          </cell>
          <cell r="B1122" t="str">
            <v>SUB GIRARDOTA 110 KV AMPLIACION</v>
          </cell>
        </row>
        <row r="1123">
          <cell r="A1123">
            <v>8333</v>
          </cell>
          <cell r="B1123" t="str">
            <v>SUB REP/RESP PARARRAYOS</v>
          </cell>
        </row>
        <row r="1124">
          <cell r="A1124">
            <v>8334</v>
          </cell>
          <cell r="B1124" t="str">
            <v>SUB REP/RESP TRANSFORMAD MEDIDA</v>
          </cell>
        </row>
        <row r="1125">
          <cell r="A1125">
            <v>8335</v>
          </cell>
          <cell r="B1125" t="str">
            <v>SUB REP/RESP TRANSFORMAD POTENCIA</v>
          </cell>
        </row>
        <row r="1126">
          <cell r="A1126">
            <v>8336</v>
          </cell>
          <cell r="B1126" t="str">
            <v>SUB REP/RESP INTERRUPT. SECCIONAD.</v>
          </cell>
        </row>
        <row r="1127">
          <cell r="A1127">
            <v>8337</v>
          </cell>
          <cell r="B1127" t="str">
            <v>SUB REP/RESP VARIOS</v>
          </cell>
        </row>
        <row r="1128">
          <cell r="A1128">
            <v>8338</v>
          </cell>
          <cell r="B1128" t="str">
            <v>SUB REFUERZOS PROTECC. VARIOS</v>
          </cell>
        </row>
        <row r="1129">
          <cell r="A1129">
            <v>8339</v>
          </cell>
          <cell r="B1129" t="str">
            <v>SUB RESPALDO MICROONDAS FIBRA OPTICA</v>
          </cell>
        </row>
        <row r="1130">
          <cell r="A1130">
            <v>8340</v>
          </cell>
          <cell r="B1130" t="str">
            <v>SUB RESPALDO CENETRO DE CONTROL</v>
          </cell>
        </row>
        <row r="1131">
          <cell r="A1131">
            <v>8341</v>
          </cell>
          <cell r="B1131" t="str">
            <v>SUB SISTEMA ANTINCENDIO</v>
          </cell>
        </row>
        <row r="1132">
          <cell r="A1132">
            <v>8342</v>
          </cell>
          <cell r="B1132" t="str">
            <v>OBRAS VARIAS DE TRANSMISION</v>
          </cell>
        </row>
        <row r="1133">
          <cell r="A1133">
            <v>8343</v>
          </cell>
          <cell r="B1133" t="str">
            <v>S/E BELEN BANCO COMPENSACION REACTIVA</v>
          </cell>
        </row>
        <row r="1134">
          <cell r="A1134">
            <v>8344</v>
          </cell>
          <cell r="B1134" t="str">
            <v>S/E MALENA REMODELACION Y AMPLIACION</v>
          </cell>
        </row>
        <row r="1135">
          <cell r="A1135">
            <v>8345</v>
          </cell>
          <cell r="B1135" t="str">
            <v>CENTRO DE COSTO NO EXISTE!!!</v>
          </cell>
        </row>
        <row r="1136">
          <cell r="A1136">
            <v>8346</v>
          </cell>
          <cell r="B1136" t="str">
            <v>AJUSTE PRESTAMO</v>
          </cell>
        </row>
        <row r="1137">
          <cell r="A1137">
            <v>8347</v>
          </cell>
          <cell r="B1137" t="str">
            <v>GASTOS FINANCIEROS</v>
          </cell>
        </row>
        <row r="1138">
          <cell r="A1138">
            <v>8348</v>
          </cell>
          <cell r="B1138" t="str">
            <v>AJ POR INFL TRANS Y TRANSF FUTURO</v>
          </cell>
        </row>
        <row r="1139">
          <cell r="A1139">
            <v>8349</v>
          </cell>
          <cell r="B1139" t="str">
            <v>ANTICIPOS TRANSM Y TRANSF FUTURO</v>
          </cell>
        </row>
        <row r="1140">
          <cell r="A1140">
            <v>8350</v>
          </cell>
          <cell r="B1140" t="str">
            <v>CENTRO DE COSTO NO EXISTE!!!</v>
          </cell>
        </row>
        <row r="1141">
          <cell r="A1141">
            <v>8379</v>
          </cell>
          <cell r="B1141" t="str">
            <v>ANTICIPOS PLAYAS</v>
          </cell>
        </row>
        <row r="1142">
          <cell r="A1142">
            <v>8380</v>
          </cell>
          <cell r="B1142" t="str">
            <v>CENTRO DE COSTO NO EXISTE!!!</v>
          </cell>
        </row>
        <row r="1143">
          <cell r="A1143">
            <v>8401</v>
          </cell>
          <cell r="B1143" t="str">
            <v>DISENOS PORCE II</v>
          </cell>
        </row>
        <row r="1144">
          <cell r="A1144">
            <v>8402</v>
          </cell>
          <cell r="B1144" t="str">
            <v>ESTUDIOS AMBIENTALES PORCE II</v>
          </cell>
        </row>
        <row r="1145">
          <cell r="A1145">
            <v>8403</v>
          </cell>
          <cell r="B1145" t="str">
            <v>INTERVENTORIA PORCE II</v>
          </cell>
        </row>
        <row r="1146">
          <cell r="A1146">
            <v>8404</v>
          </cell>
          <cell r="B1146" t="str">
            <v>CENTRO DE COSTO NO EXISTE!!!</v>
          </cell>
        </row>
        <row r="1147">
          <cell r="A1147">
            <v>8405</v>
          </cell>
          <cell r="B1147" t="str">
            <v>ASESORES PORCE II</v>
          </cell>
        </row>
        <row r="1148">
          <cell r="A1148">
            <v>8406</v>
          </cell>
          <cell r="B1148" t="str">
            <v>TIERRAS Y SERVIDUMBRES PORCE II</v>
          </cell>
        </row>
        <row r="1149">
          <cell r="A1149">
            <v>8407</v>
          </cell>
          <cell r="B1149" t="str">
            <v>INGENIERIA Y ADMON. PORCE II</v>
          </cell>
        </row>
        <row r="1150">
          <cell r="A1150">
            <v>8408</v>
          </cell>
          <cell r="B1150" t="str">
            <v>DISENOS TRANSM ASOCIADA PORCE II</v>
          </cell>
        </row>
        <row r="1151">
          <cell r="A1151">
            <v>8409</v>
          </cell>
          <cell r="B1151" t="str">
            <v>PROGRAMA CAPACITACION BID PORCE</v>
          </cell>
        </row>
        <row r="1152">
          <cell r="A1152">
            <v>8410</v>
          </cell>
          <cell r="B1152" t="str">
            <v>INFRAEST CAMPAMENTOS PORCE II</v>
          </cell>
        </row>
        <row r="1153">
          <cell r="A1153">
            <v>8411</v>
          </cell>
          <cell r="B1153" t="str">
            <v>CENTRO DE COSTO NO EXISTE!!!</v>
          </cell>
        </row>
        <row r="1154">
          <cell r="A1154">
            <v>8412</v>
          </cell>
          <cell r="B1154" t="str">
            <v>INFRAEST CARRET DE ACC PORCE II</v>
          </cell>
        </row>
        <row r="1155">
          <cell r="A1155">
            <v>8413</v>
          </cell>
          <cell r="B1155" t="str">
            <v>CENTRO DE COSTO NO EXISTE!!!</v>
          </cell>
        </row>
        <row r="1156">
          <cell r="A1156">
            <v>8415</v>
          </cell>
          <cell r="B1156" t="str">
            <v>PRESA Y VERT PORCE II</v>
          </cell>
        </row>
        <row r="1157">
          <cell r="A1157">
            <v>8416</v>
          </cell>
          <cell r="B1157" t="str">
            <v>CENTRO DE COSTO NO EXISTE!!!</v>
          </cell>
        </row>
        <row r="1158">
          <cell r="A1158">
            <v>8420</v>
          </cell>
          <cell r="B1158" t="str">
            <v>OBRAS SUBTERRANEAS PORCE II</v>
          </cell>
        </row>
        <row r="1159">
          <cell r="A1159">
            <v>8421</v>
          </cell>
          <cell r="B1159" t="str">
            <v>CENTRO DE COSTO NO EXISTE!!!</v>
          </cell>
        </row>
        <row r="1160">
          <cell r="A1160">
            <v>8422</v>
          </cell>
          <cell r="B1160" t="str">
            <v>SUBESTACION PORCE II</v>
          </cell>
        </row>
        <row r="1161">
          <cell r="A1161">
            <v>8423</v>
          </cell>
          <cell r="B1161" t="str">
            <v>CENTRO DE COSTO NO EXISTE!!!</v>
          </cell>
        </row>
        <row r="1162">
          <cell r="A1162">
            <v>8425</v>
          </cell>
          <cell r="B1162" t="str">
            <v>LINEAS DE TRANSMISION PORCE II</v>
          </cell>
        </row>
        <row r="1163">
          <cell r="A1163">
            <v>8426</v>
          </cell>
          <cell r="B1163" t="str">
            <v>CENTRO DE COSTO NO EXISTE!!!</v>
          </cell>
        </row>
        <row r="1164">
          <cell r="A1164">
            <v>8428</v>
          </cell>
          <cell r="B1164" t="str">
            <v>OBRAS SUSTITUTIVAS PORCE II</v>
          </cell>
        </row>
        <row r="1165">
          <cell r="A1165">
            <v>8429</v>
          </cell>
          <cell r="B1165" t="str">
            <v>CENTRO DE COSTO NO EXISTE!!!</v>
          </cell>
        </row>
        <row r="1166">
          <cell r="A1166">
            <v>8435</v>
          </cell>
          <cell r="B1166" t="str">
            <v>OB PROTECC MEDIO AMB PORCE II</v>
          </cell>
        </row>
        <row r="1167">
          <cell r="A1167">
            <v>8436</v>
          </cell>
          <cell r="B1167" t="str">
            <v>CENTRO DE COSTO NO EXISTE!!!</v>
          </cell>
        </row>
        <row r="1168">
          <cell r="A1168">
            <v>8440</v>
          </cell>
          <cell r="B1168" t="str">
            <v>EQUIPOS INFRAESTRUCTURA PORCE II</v>
          </cell>
        </row>
        <row r="1169">
          <cell r="A1169">
            <v>8441</v>
          </cell>
          <cell r="B1169" t="str">
            <v>TURBINAS Y ASOCIADOS PORCE II</v>
          </cell>
        </row>
        <row r="1170">
          <cell r="A1170">
            <v>8442</v>
          </cell>
          <cell r="B1170" t="str">
            <v>COMPUERTAS PORCE II</v>
          </cell>
        </row>
        <row r="1171">
          <cell r="A1171">
            <v>8443</v>
          </cell>
          <cell r="B1171" t="str">
            <v>GENERADORES Y ASOCIADOS PORCE II</v>
          </cell>
        </row>
        <row r="1172">
          <cell r="A1172">
            <v>8444</v>
          </cell>
          <cell r="B1172" t="str">
            <v>CENTRO DE COSTO NO EXISTE!!!</v>
          </cell>
        </row>
        <row r="1173">
          <cell r="A1173">
            <v>8445</v>
          </cell>
          <cell r="B1173" t="str">
            <v>TRANSFORMADORES PORCE II</v>
          </cell>
        </row>
        <row r="1174">
          <cell r="A1174">
            <v>8446</v>
          </cell>
          <cell r="B1174" t="str">
            <v>CENTRO DE COSTO NO EXISTE!!!</v>
          </cell>
        </row>
        <row r="1175">
          <cell r="A1175">
            <v>8447</v>
          </cell>
          <cell r="B1175" t="str">
            <v>BLIND TUNEL Y DISTRIBUID PORC II</v>
          </cell>
        </row>
        <row r="1176">
          <cell r="A1176">
            <v>8448</v>
          </cell>
          <cell r="B1176" t="str">
            <v>CENTRO DE COSTO NO EXISTE!!!</v>
          </cell>
        </row>
        <row r="1177">
          <cell r="A1177">
            <v>8450</v>
          </cell>
          <cell r="B1177" t="str">
            <v>EQUIP SECUNDARIOS ELECT PORCE II</v>
          </cell>
        </row>
        <row r="1178">
          <cell r="A1178">
            <v>8451</v>
          </cell>
          <cell r="B1178" t="str">
            <v>EQUIPOS SECUND MECAN PORCE II</v>
          </cell>
        </row>
        <row r="1179">
          <cell r="A1179">
            <v>8452</v>
          </cell>
          <cell r="B1179" t="str">
            <v>EQUIPOS SUBESTACION PORCE II</v>
          </cell>
        </row>
        <row r="1180">
          <cell r="A1180">
            <v>8453</v>
          </cell>
          <cell r="B1180" t="str">
            <v>CENTRO DE COSTO NO EXISTE!!!</v>
          </cell>
        </row>
        <row r="1181">
          <cell r="A1181">
            <v>8455</v>
          </cell>
          <cell r="B1181" t="str">
            <v>EQ LINEAS TRANSMISION PORCE II</v>
          </cell>
        </row>
        <row r="1182">
          <cell r="A1182">
            <v>8456</v>
          </cell>
          <cell r="B1182" t="str">
            <v>CENTRO DE COSTO NO EXISTE!!!</v>
          </cell>
        </row>
        <row r="1183">
          <cell r="A1183">
            <v>8457</v>
          </cell>
          <cell r="B1183" t="str">
            <v>INVERSION DE MERCADO NO REGULADO Y P.</v>
          </cell>
        </row>
        <row r="1184">
          <cell r="A1184">
            <v>8458</v>
          </cell>
          <cell r="B1184" t="str">
            <v>EQUIPOS DE CONTROL PORCE II</v>
          </cell>
        </row>
        <row r="1185">
          <cell r="A1185">
            <v>8459</v>
          </cell>
          <cell r="B1185" t="str">
            <v>PROG REDUCC PERD Y USO RAC ENE</v>
          </cell>
        </row>
        <row r="1186">
          <cell r="A1186">
            <v>8460</v>
          </cell>
          <cell r="B1186" t="str">
            <v>CENTRO DE COSTO NO EXISTE!!!</v>
          </cell>
        </row>
        <row r="1187">
          <cell r="A1187">
            <v>8479</v>
          </cell>
          <cell r="B1187" t="str">
            <v>ANTICIPOS PORCE II</v>
          </cell>
        </row>
        <row r="1188">
          <cell r="A1188">
            <v>8480</v>
          </cell>
          <cell r="B1188" t="str">
            <v>PTMO FONADE PORCE II</v>
          </cell>
        </row>
        <row r="1189">
          <cell r="A1189">
            <v>8481</v>
          </cell>
          <cell r="B1189" t="str">
            <v>PRESTAMO BID PORCE II</v>
          </cell>
        </row>
        <row r="1190">
          <cell r="A1190">
            <v>8482</v>
          </cell>
          <cell r="B1190" t="str">
            <v>PRESTAMO BID PORCE DISTRIBUCION</v>
          </cell>
        </row>
        <row r="1191">
          <cell r="A1191">
            <v>8483</v>
          </cell>
          <cell r="B1191" t="str">
            <v>CENTRO DE COSTO NO EXISTE!!!</v>
          </cell>
        </row>
        <row r="1192">
          <cell r="A1192">
            <v>8489</v>
          </cell>
          <cell r="B1192" t="str">
            <v>ANTICIPOS PORCE II TRANSMISION</v>
          </cell>
        </row>
        <row r="1193">
          <cell r="A1193">
            <v>8490</v>
          </cell>
          <cell r="B1193" t="str">
            <v>CENTRO DE COSTO NO EXISTE!!!</v>
          </cell>
        </row>
        <row r="1194">
          <cell r="A1194">
            <v>8491</v>
          </cell>
          <cell r="B1194" t="str">
            <v>AJUSTE PRESTAMO BID PORCE II</v>
          </cell>
        </row>
        <row r="1195">
          <cell r="A1195">
            <v>8492</v>
          </cell>
          <cell r="B1195" t="str">
            <v>AJUSTE PRESTAMO BID-PORCE II-DISTRIB.</v>
          </cell>
        </row>
        <row r="1196">
          <cell r="A1196">
            <v>8493</v>
          </cell>
          <cell r="B1196" t="str">
            <v>CENTRO DE COSTO NO EXISTE!!!</v>
          </cell>
        </row>
        <row r="1197">
          <cell r="A1197">
            <v>8500</v>
          </cell>
          <cell r="B1197" t="str">
            <v>ESTUDIOS EXP TRANSM DISTRIBUCION</v>
          </cell>
        </row>
        <row r="1198">
          <cell r="A1198">
            <v>8501</v>
          </cell>
          <cell r="B1198" t="str">
            <v>CENTRO DE COSTO NO EXISTE!!!</v>
          </cell>
        </row>
        <row r="1199">
          <cell r="A1199">
            <v>8536</v>
          </cell>
          <cell r="B1199" t="str">
            <v>SUBESTACION PIEDRAS BLANCAS EQUIPOS</v>
          </cell>
        </row>
        <row r="1200">
          <cell r="A1200">
            <v>8537</v>
          </cell>
          <cell r="B1200" t="str">
            <v>CENTRO DE COSTO NO EXISTE!!!</v>
          </cell>
        </row>
        <row r="1201">
          <cell r="A1201">
            <v>8545</v>
          </cell>
          <cell r="B1201" t="str">
            <v>SUBESTACION GIRARDOTA EQUIPOS</v>
          </cell>
        </row>
        <row r="1202">
          <cell r="A1202">
            <v>8546</v>
          </cell>
          <cell r="B1202" t="str">
            <v>CENTRO DE COSTO NO EXISTE!!!</v>
          </cell>
        </row>
        <row r="1203">
          <cell r="A1203">
            <v>8574</v>
          </cell>
          <cell r="B1203" t="str">
            <v>ING PLAN REDUCC PERDIDA</v>
          </cell>
        </row>
        <row r="1204">
          <cell r="A1204">
            <v>8575</v>
          </cell>
          <cell r="B1204" t="str">
            <v>CENTRO DE COSTO NO EXISTE!!!</v>
          </cell>
        </row>
        <row r="1205">
          <cell r="A1205">
            <v>8576</v>
          </cell>
          <cell r="B1205" t="str">
            <v>SUBESTACIÓN MALENA EQUIPOS</v>
          </cell>
        </row>
        <row r="1206">
          <cell r="A1206">
            <v>8577</v>
          </cell>
          <cell r="B1206" t="str">
            <v>CENTRO DE COSTO NO EXISTE!!!</v>
          </cell>
        </row>
        <row r="1207">
          <cell r="A1207">
            <v>8579</v>
          </cell>
          <cell r="B1207" t="str">
            <v>ANTICIPOS EXP TRANSMISION Y DISTRIBUCION</v>
          </cell>
        </row>
        <row r="1208">
          <cell r="A1208">
            <v>8580</v>
          </cell>
          <cell r="B1208" t="str">
            <v>SUBESTACION CALDAS EQUIPOS</v>
          </cell>
        </row>
        <row r="1209">
          <cell r="A1209">
            <v>8581</v>
          </cell>
          <cell r="B1209" t="str">
            <v>CENTRO DE COSTO NO EXISTE!!!</v>
          </cell>
        </row>
        <row r="1210">
          <cell r="A1210">
            <v>8589</v>
          </cell>
          <cell r="B1210" t="str">
            <v>ANT REDUCCION PERDIDAS</v>
          </cell>
        </row>
        <row r="1211">
          <cell r="A1211">
            <v>8590</v>
          </cell>
          <cell r="B1211" t="str">
            <v>CENTRO DE COSTO NO EXISTE!!!</v>
          </cell>
        </row>
        <row r="1212">
          <cell r="A1212">
            <v>8591</v>
          </cell>
          <cell r="B1212" t="str">
            <v>PRESTAMO FEN-EXIMBANK TRANS Y DISTRIBUC.</v>
          </cell>
        </row>
        <row r="1213">
          <cell r="A1213">
            <v>8592</v>
          </cell>
          <cell r="B1213" t="str">
            <v>CENTRO DE COSTO NO EXISTE!!!</v>
          </cell>
        </row>
        <row r="1214">
          <cell r="A1214">
            <v>8597</v>
          </cell>
          <cell r="B1214" t="str">
            <v>AJUSTE PTMO EXIMBANK TRANS Y DISTRIBUCION</v>
          </cell>
        </row>
        <row r="1215">
          <cell r="A1215">
            <v>8598</v>
          </cell>
          <cell r="B1215" t="str">
            <v>AJ POR INFL REDUCCION PERDIDAS</v>
          </cell>
        </row>
        <row r="1216">
          <cell r="A1216">
            <v>8599</v>
          </cell>
          <cell r="B1216" t="str">
            <v>AJ POR INFL PLAN EXP SUBT Y DISTRIBUCION</v>
          </cell>
        </row>
        <row r="1217">
          <cell r="A1217">
            <v>8600</v>
          </cell>
          <cell r="B1217" t="str">
            <v>CENTRO DE COSTO NO EXISTE!!!</v>
          </cell>
        </row>
        <row r="1218">
          <cell r="A1218">
            <v>8601</v>
          </cell>
          <cell r="B1218" t="str">
            <v>INGENIERIA Y ADMON TERMICA</v>
          </cell>
        </row>
        <row r="1219">
          <cell r="A1219">
            <v>8602</v>
          </cell>
          <cell r="B1219" t="str">
            <v>INTERVENTORIA TERMICA</v>
          </cell>
        </row>
        <row r="1220">
          <cell r="A1220">
            <v>8603</v>
          </cell>
          <cell r="B1220" t="str">
            <v>CENTRO DE COSTO NO EXISTE!!!</v>
          </cell>
        </row>
        <row r="1221">
          <cell r="A1221">
            <v>8604</v>
          </cell>
          <cell r="B1221" t="str">
            <v>ESTUDIOS Y OBRAS CIVILES TERMICA</v>
          </cell>
        </row>
        <row r="1222">
          <cell r="A1222">
            <v>8605</v>
          </cell>
          <cell r="B1222" t="str">
            <v>INGENIERÍA TÉRMICA LA SIERRA</v>
          </cell>
        </row>
        <row r="1223">
          <cell r="A1223">
            <v>8606</v>
          </cell>
          <cell r="B1223" t="str">
            <v>EQUIPOS COMUNICACIONES TERMICA</v>
          </cell>
        </row>
        <row r="1224">
          <cell r="A1224">
            <v>8607</v>
          </cell>
          <cell r="B1224" t="str">
            <v>CENTRO DE COSTO NO EXISTE!!!</v>
          </cell>
        </row>
        <row r="1225">
          <cell r="A1225">
            <v>8609</v>
          </cell>
          <cell r="B1225" t="str">
            <v>CONTRATO LLAVE EN MANO TS</v>
          </cell>
        </row>
        <row r="1226">
          <cell r="A1226">
            <v>8610</v>
          </cell>
          <cell r="B1226" t="str">
            <v>TRANSPORTES Y COMBUSTIBLES TERMICA</v>
          </cell>
        </row>
        <row r="1227">
          <cell r="A1227">
            <v>8611</v>
          </cell>
          <cell r="B1227" t="str">
            <v>COMPRA DE TIERRAS TERMICA</v>
          </cell>
        </row>
        <row r="1228">
          <cell r="A1228">
            <v>8612</v>
          </cell>
          <cell r="B1228" t="str">
            <v>CENTRO DE COSTO NO EXISTE!!!</v>
          </cell>
        </row>
        <row r="1229">
          <cell r="A1229">
            <v>8617</v>
          </cell>
          <cell r="B1229" t="str">
            <v>AJUSTE DIF. EN CAMBIO TERMICA LA SIERRA</v>
          </cell>
        </row>
        <row r="1230">
          <cell r="A1230">
            <v>8618</v>
          </cell>
          <cell r="B1230" t="str">
            <v>GASTOS FINANCIEROS TERMICA</v>
          </cell>
        </row>
        <row r="1231">
          <cell r="A1231">
            <v>8619</v>
          </cell>
          <cell r="B1231" t="str">
            <v>ANTICIPOS TERMICA</v>
          </cell>
        </row>
        <row r="1232">
          <cell r="A1232">
            <v>8620</v>
          </cell>
          <cell r="B1232" t="str">
            <v>CENTRO DE COSTO NO EXISTE!!!</v>
          </cell>
        </row>
        <row r="1233">
          <cell r="A1233">
            <v>8629</v>
          </cell>
          <cell r="B1233" t="str">
            <v>ANTICIPOS NECHI</v>
          </cell>
        </row>
        <row r="1234">
          <cell r="A1234">
            <v>8630</v>
          </cell>
          <cell r="B1234" t="str">
            <v>TERMOELECTRICA LA SIERRA - CICLO COMBIN.</v>
          </cell>
        </row>
        <row r="1235">
          <cell r="A1235">
            <v>8631</v>
          </cell>
          <cell r="B1235" t="str">
            <v>ESTUDIOS CICLO COMBINADO LA SIERRA</v>
          </cell>
        </row>
        <row r="1236">
          <cell r="A1236">
            <v>8632</v>
          </cell>
          <cell r="B1236" t="str">
            <v>CENTRO DE COSTO NO EXISTE!!!</v>
          </cell>
        </row>
        <row r="1237">
          <cell r="A1237">
            <v>8651</v>
          </cell>
          <cell r="B1237" t="str">
            <v>DISEÑOS NECHI</v>
          </cell>
        </row>
        <row r="1238">
          <cell r="A1238">
            <v>8652</v>
          </cell>
          <cell r="B1238" t="str">
            <v>INGENIERIA NECHI</v>
          </cell>
        </row>
        <row r="1239">
          <cell r="A1239">
            <v>8653</v>
          </cell>
          <cell r="B1239" t="str">
            <v>TIERRAS Y SERVIDUMBRES NECHI</v>
          </cell>
        </row>
        <row r="1240">
          <cell r="A1240">
            <v>8654</v>
          </cell>
          <cell r="B1240" t="str">
            <v>CENTRO DE COSTO NO EXISTE!!!</v>
          </cell>
        </row>
        <row r="1241">
          <cell r="A1241">
            <v>8690</v>
          </cell>
          <cell r="B1241" t="str">
            <v>AJUSTES POR INFL RIOG II</v>
          </cell>
        </row>
        <row r="1242">
          <cell r="A1242">
            <v>8691</v>
          </cell>
          <cell r="B1242" t="str">
            <v>CENTRO DE COSTO NO EXISTE!!!</v>
          </cell>
        </row>
        <row r="1243">
          <cell r="A1243">
            <v>8693</v>
          </cell>
          <cell r="B1243" t="str">
            <v>AJUSTES POR INFLACION NECHI</v>
          </cell>
        </row>
        <row r="1244">
          <cell r="A1244">
            <v>8694</v>
          </cell>
          <cell r="B1244" t="str">
            <v>CENTRO DE COSTO NO EXISTE!!!</v>
          </cell>
        </row>
        <row r="1245">
          <cell r="A1245">
            <v>8704</v>
          </cell>
          <cell r="B1245" t="str">
            <v>TRAB PART EN DIV CONSERV CONTROL</v>
          </cell>
        </row>
        <row r="1246">
          <cell r="A1246">
            <v>8705</v>
          </cell>
          <cell r="B1246" t="str">
            <v>CENTRO DE COSTO NO EXISTE!!!</v>
          </cell>
        </row>
        <row r="1247">
          <cell r="A1247">
            <v>8706</v>
          </cell>
          <cell r="B1247" t="str">
            <v>DIS MIRAFLORES Y TRONERAS</v>
          </cell>
        </row>
        <row r="1248">
          <cell r="A1248">
            <v>8707</v>
          </cell>
          <cell r="B1248" t="str">
            <v>CENTRO DE COSTO NO EXISTE!!!</v>
          </cell>
        </row>
        <row r="1249">
          <cell r="A1249">
            <v>8710</v>
          </cell>
          <cell r="B1249" t="str">
            <v>SISTEMAS INFORM. GEREN. DISTRIB. ENERGIA</v>
          </cell>
        </row>
        <row r="1250">
          <cell r="A1250">
            <v>8711</v>
          </cell>
          <cell r="B1250" t="str">
            <v>ALUMBRADO PUBLICO</v>
          </cell>
        </row>
        <row r="1251">
          <cell r="A1251">
            <v>8712</v>
          </cell>
          <cell r="B1251" t="str">
            <v>EST REDISENO TRONERAS</v>
          </cell>
        </row>
        <row r="1252">
          <cell r="A1252">
            <v>8713</v>
          </cell>
          <cell r="B1252" t="str">
            <v>PLANEAMIENTO OPERATIVO ENERGIA</v>
          </cell>
        </row>
        <row r="1253">
          <cell r="A1253">
            <v>8714</v>
          </cell>
          <cell r="B1253" t="str">
            <v>AJ POR INFL GEN Y REP EQUIPOS</v>
          </cell>
        </row>
        <row r="1254">
          <cell r="A1254">
            <v>8715</v>
          </cell>
          <cell r="B1254" t="str">
            <v>CENTRO DE COSTO NO EXISTE!!!</v>
          </cell>
        </row>
        <row r="1255">
          <cell r="A1255">
            <v>8716</v>
          </cell>
          <cell r="B1255" t="str">
            <v>SISTEMA DE REFRIGERACIÓN GUATAPÉ O.C.</v>
          </cell>
        </row>
        <row r="1256">
          <cell r="A1256">
            <v>8717</v>
          </cell>
          <cell r="B1256" t="str">
            <v>CENTRO DE COSTO NO EXISTE!!!</v>
          </cell>
        </row>
        <row r="1257">
          <cell r="A1257">
            <v>8720</v>
          </cell>
          <cell r="B1257" t="str">
            <v>MODELO EXPANSION GENERACION</v>
          </cell>
        </row>
        <row r="1258">
          <cell r="A1258">
            <v>8721</v>
          </cell>
          <cell r="B1258" t="str">
            <v>CENTRO DE COSTO NO EXISTE!!!</v>
          </cell>
        </row>
        <row r="1259">
          <cell r="A1259">
            <v>8724</v>
          </cell>
          <cell r="B1259" t="str">
            <v>MODERNIZACION GUATAPE</v>
          </cell>
        </row>
        <row r="1260">
          <cell r="A1260">
            <v>8725</v>
          </cell>
          <cell r="B1260" t="str">
            <v>PARTICION Y EXPANSION PARRILLA</v>
          </cell>
        </row>
        <row r="1261">
          <cell r="A1261">
            <v>8726</v>
          </cell>
          <cell r="B1261" t="str">
            <v>MTTO PREVENTIVO RURAL</v>
          </cell>
        </row>
        <row r="1262">
          <cell r="A1262">
            <v>8727</v>
          </cell>
          <cell r="B1262" t="str">
            <v>CENTRO DE COSTO NO EXISTE!!!</v>
          </cell>
        </row>
        <row r="1263">
          <cell r="A1263">
            <v>8728</v>
          </cell>
          <cell r="B1263" t="str">
            <v>OB VARIAS PROD ENERG DIV TECNICA</v>
          </cell>
        </row>
        <row r="1264">
          <cell r="A1264">
            <v>8729</v>
          </cell>
          <cell r="B1264" t="str">
            <v>OB VARIAS PRODUCC ENERG GTPE</v>
          </cell>
        </row>
        <row r="1265">
          <cell r="A1265">
            <v>8730</v>
          </cell>
          <cell r="B1265" t="str">
            <v>CENTRO DE COSTO NO EXISTE!!!</v>
          </cell>
        </row>
        <row r="1266">
          <cell r="A1266">
            <v>8731</v>
          </cell>
          <cell r="B1266" t="str">
            <v>DISENO RIACHON</v>
          </cell>
        </row>
        <row r="1267">
          <cell r="A1267">
            <v>8732</v>
          </cell>
          <cell r="B1267" t="str">
            <v>CENTRO DE COSTO NO EXISTE!!!</v>
          </cell>
        </row>
        <row r="1268">
          <cell r="A1268">
            <v>8738</v>
          </cell>
          <cell r="B1268" t="str">
            <v>REALCE VERTEDERO TENCHE</v>
          </cell>
        </row>
        <row r="1269">
          <cell r="A1269">
            <v>8739</v>
          </cell>
          <cell r="B1269" t="str">
            <v>TRASLADO CENTRAL GUADALUPE</v>
          </cell>
        </row>
        <row r="1270">
          <cell r="A1270">
            <v>8740</v>
          </cell>
          <cell r="B1270" t="str">
            <v>CONSULT. GUAD III,TRON, P.BLANC.</v>
          </cell>
        </row>
        <row r="1271">
          <cell r="A1271">
            <v>8741</v>
          </cell>
          <cell r="B1271" t="str">
            <v>CENTRO DE COSTO NO EXISTE!!!</v>
          </cell>
        </row>
        <row r="1272">
          <cell r="A1272">
            <v>8746</v>
          </cell>
          <cell r="B1272" t="str">
            <v>OBRA CIVIL MINICENTRAL DOLORES</v>
          </cell>
        </row>
        <row r="1273">
          <cell r="A1273">
            <v>8747</v>
          </cell>
          <cell r="B1273" t="str">
            <v>EQUIPOS MINICENTRAL DOLORES</v>
          </cell>
        </row>
        <row r="1274">
          <cell r="A1274">
            <v>8748</v>
          </cell>
          <cell r="B1274" t="str">
            <v>CENTRO DE COSTO NO EXISTE!!!</v>
          </cell>
        </row>
        <row r="1275">
          <cell r="A1275">
            <v>8760</v>
          </cell>
          <cell r="B1275" t="str">
            <v>PLAN INFORMATICO GERENCIA GENER. ENERGIA</v>
          </cell>
        </row>
        <row r="1276">
          <cell r="A1276">
            <v>8761</v>
          </cell>
          <cell r="B1276" t="str">
            <v>CENTRO DE COSTO NO EXISTE!!!</v>
          </cell>
        </row>
        <row r="1277">
          <cell r="A1277">
            <v>8770</v>
          </cell>
          <cell r="B1277" t="str">
            <v>CONSERVACIÓN CUENCAS</v>
          </cell>
        </row>
        <row r="1278">
          <cell r="A1278">
            <v>8771</v>
          </cell>
          <cell r="B1278" t="str">
            <v>OBRAS MITIGACIÓN IMPACTOS AMBIENTALES</v>
          </cell>
        </row>
        <row r="1279">
          <cell r="A1279">
            <v>8772</v>
          </cell>
          <cell r="B1279" t="str">
            <v>ESTACIONES HIDROMETEOROLÓGICAS</v>
          </cell>
        </row>
        <row r="1280">
          <cell r="A1280">
            <v>8773</v>
          </cell>
          <cell r="B1280" t="str">
            <v>CENTRO DE COSTO NO EXISTE!!!</v>
          </cell>
        </row>
        <row r="1281">
          <cell r="A1281">
            <v>8775</v>
          </cell>
          <cell r="B1281" t="str">
            <v>CONTRATOS U. PLANEACION GENERACIÓN</v>
          </cell>
        </row>
        <row r="1282">
          <cell r="A1282">
            <v>8776</v>
          </cell>
          <cell r="B1282" t="str">
            <v>CENTRO DE COSTO NO EXISTE!!!</v>
          </cell>
        </row>
        <row r="1283">
          <cell r="A1283">
            <v>8778</v>
          </cell>
          <cell r="B1283" t="str">
            <v>ANTICIPOS OTROS PROGRAMA GENERACIÓN</v>
          </cell>
        </row>
        <row r="1284">
          <cell r="A1284">
            <v>8779</v>
          </cell>
          <cell r="B1284" t="str">
            <v>ANTICIPOS GENERAC Y REPOSIC EQ</v>
          </cell>
        </row>
        <row r="1285">
          <cell r="A1285">
            <v>8780</v>
          </cell>
          <cell r="B1285" t="str">
            <v>CENTRO DE COSTO NO EXISTE!!!</v>
          </cell>
        </row>
        <row r="1286">
          <cell r="A1286">
            <v>8781</v>
          </cell>
          <cell r="B1286" t="str">
            <v>PMO FEN EXIMBANK OTROS PROGR</v>
          </cell>
        </row>
        <row r="1287">
          <cell r="A1287">
            <v>8782</v>
          </cell>
          <cell r="B1287" t="str">
            <v>CENTRO DE COSTO NO EXISTE!!!</v>
          </cell>
        </row>
        <row r="1288">
          <cell r="A1288">
            <v>8790</v>
          </cell>
          <cell r="B1288" t="str">
            <v>AJ POR INFL GENER Y REPOSIC EQ</v>
          </cell>
        </row>
        <row r="1289">
          <cell r="A1289">
            <v>8791</v>
          </cell>
          <cell r="B1289" t="str">
            <v>CENTRO DE COSTO NO EXISTE!!!</v>
          </cell>
        </row>
        <row r="1290">
          <cell r="A1290">
            <v>8797</v>
          </cell>
          <cell r="B1290" t="str">
            <v>AJTE PTMO EXIMBANK OTROS PROG</v>
          </cell>
        </row>
        <row r="1291">
          <cell r="A1291">
            <v>8798</v>
          </cell>
          <cell r="B1291" t="str">
            <v>INGENIERIA OTROS PROGRAMAS</v>
          </cell>
        </row>
        <row r="1292">
          <cell r="A1292">
            <v>8799</v>
          </cell>
          <cell r="B1292" t="str">
            <v>ANTICIPOS OTROS PROGRAMA DISTRIBUCION</v>
          </cell>
        </row>
        <row r="1293">
          <cell r="A1293">
            <v>8800</v>
          </cell>
          <cell r="B1293" t="str">
            <v>CENTRO DE COSTO NO EXISTE!!!</v>
          </cell>
        </row>
        <row r="1294">
          <cell r="A1294">
            <v>8801</v>
          </cell>
          <cell r="B1294" t="str">
            <v>CAPACITACION GENERACIÓN ENERGIA</v>
          </cell>
        </row>
        <row r="1295">
          <cell r="A1295">
            <v>8802</v>
          </cell>
          <cell r="B1295" t="str">
            <v>CAPACITACION DISTRIBUCION ENERGIA</v>
          </cell>
        </row>
        <row r="1296">
          <cell r="A1296">
            <v>8803</v>
          </cell>
          <cell r="B1296" t="str">
            <v>CENTRO DE COSTO NO EXISTE!!!</v>
          </cell>
        </row>
        <row r="1297">
          <cell r="A1297">
            <v>8804</v>
          </cell>
          <cell r="B1297" t="str">
            <v>ADECUACION TERRENO PARQUEADERO</v>
          </cell>
        </row>
        <row r="1298">
          <cell r="A1298">
            <v>8805</v>
          </cell>
          <cell r="B1298" t="str">
            <v>EDIFICIO SEDE BOGOTA</v>
          </cell>
        </row>
        <row r="1299">
          <cell r="A1299">
            <v>8806</v>
          </cell>
          <cell r="B1299" t="str">
            <v>CENTRO DE COSTO NO EXISTE!!!</v>
          </cell>
        </row>
        <row r="1300">
          <cell r="A1300">
            <v>8808</v>
          </cell>
          <cell r="B1300" t="str">
            <v>REMODELACION ED.MIGUEL DE AGUI</v>
          </cell>
        </row>
        <row r="1301">
          <cell r="A1301">
            <v>8809</v>
          </cell>
          <cell r="B1301" t="str">
            <v>CENTRO DE COSTO NO EXISTE!!!</v>
          </cell>
        </row>
        <row r="1302">
          <cell r="A1302">
            <v>8812</v>
          </cell>
          <cell r="B1302" t="str">
            <v>OBRAS SEGURIDAD INSTALAC EPM</v>
          </cell>
        </row>
        <row r="1303">
          <cell r="A1303">
            <v>8813</v>
          </cell>
          <cell r="B1303" t="str">
            <v>CENTRO DE COSTO NO EXISTE!!!</v>
          </cell>
        </row>
        <row r="1304">
          <cell r="A1304">
            <v>8820</v>
          </cell>
          <cell r="B1304" t="str">
            <v>PAVIMENTACION</v>
          </cell>
        </row>
        <row r="1305">
          <cell r="A1305">
            <v>8821</v>
          </cell>
          <cell r="B1305" t="str">
            <v>CENTRO DE COSTO NO EXISTE!!!</v>
          </cell>
        </row>
        <row r="1306">
          <cell r="A1306">
            <v>8823</v>
          </cell>
          <cell r="B1306" t="str">
            <v>CONSTRUCC Y MTTO DESPACHO CUAD</v>
          </cell>
        </row>
        <row r="1307">
          <cell r="A1307">
            <v>8824</v>
          </cell>
          <cell r="B1307" t="str">
            <v>CENTRO DE COSTO NO EXISTE!!!</v>
          </cell>
        </row>
        <row r="1308">
          <cell r="A1308">
            <v>8826</v>
          </cell>
          <cell r="B1308" t="str">
            <v>REMODELACION PALACIO</v>
          </cell>
        </row>
        <row r="1309">
          <cell r="A1309">
            <v>8827</v>
          </cell>
          <cell r="B1309" t="str">
            <v>REFORMA DIV. COMERCIAL</v>
          </cell>
        </row>
        <row r="1310">
          <cell r="A1310">
            <v>8828</v>
          </cell>
          <cell r="B1310" t="str">
            <v>OBRA CIVIL ADECUACION REFORMAS</v>
          </cell>
        </row>
        <row r="1311">
          <cell r="A1311">
            <v>8829</v>
          </cell>
          <cell r="B1311" t="str">
            <v>ADECUACION OFIC ATENCION USUARIO</v>
          </cell>
        </row>
        <row r="1312">
          <cell r="A1312">
            <v>8830</v>
          </cell>
          <cell r="B1312" t="str">
            <v>CENTRO DE COSTO NO EXISTE!!!</v>
          </cell>
        </row>
        <row r="1313">
          <cell r="A1313">
            <v>8836</v>
          </cell>
          <cell r="B1313" t="str">
            <v>FACHADA CENTRO DE CONTROL</v>
          </cell>
        </row>
        <row r="1314">
          <cell r="A1314">
            <v>8837</v>
          </cell>
          <cell r="B1314" t="str">
            <v>CENTRO DE COSTO NO EXISTE!!!</v>
          </cell>
        </row>
        <row r="1315">
          <cell r="A1315">
            <v>8839</v>
          </cell>
          <cell r="B1315" t="str">
            <v>ANT PLAN MAEST DE INFORMATICA</v>
          </cell>
        </row>
        <row r="1316">
          <cell r="A1316">
            <v>8840</v>
          </cell>
          <cell r="B1316" t="str">
            <v>CENTRO DE COSTO NO EXISTE!!!</v>
          </cell>
        </row>
        <row r="1317">
          <cell r="A1317">
            <v>8843</v>
          </cell>
          <cell r="B1317" t="str">
            <v>ADECUACIONES EDIFICIO EE.PP.M.</v>
          </cell>
        </row>
        <row r="1318">
          <cell r="A1318">
            <v>8844</v>
          </cell>
          <cell r="B1318" t="str">
            <v>CENTRO DE COSTO NO EXISTE!!!</v>
          </cell>
        </row>
        <row r="1319">
          <cell r="A1319">
            <v>8845</v>
          </cell>
          <cell r="B1319" t="str">
            <v>CENTRO OPERACION MANTENIMIENTO COLOMBIA</v>
          </cell>
        </row>
        <row r="1320">
          <cell r="A1320">
            <v>8846</v>
          </cell>
          <cell r="B1320" t="str">
            <v>VALORIZACION CORPORATIVA EEPPM</v>
          </cell>
        </row>
        <row r="1321">
          <cell r="A1321">
            <v>8847</v>
          </cell>
          <cell r="B1321" t="str">
            <v>BODEGA ALMACEN GENERAL ZONA NORTE</v>
          </cell>
        </row>
        <row r="1322">
          <cell r="A1322">
            <v>8848</v>
          </cell>
          <cell r="B1322" t="str">
            <v>OFICINA SUSCRIPTORES MPIO. BARBOSA</v>
          </cell>
        </row>
        <row r="1323">
          <cell r="A1323">
            <v>8849</v>
          </cell>
          <cell r="B1323" t="str">
            <v>DESPACHO CUADRILLAS ZONA NORTE</v>
          </cell>
        </row>
        <row r="1324">
          <cell r="A1324">
            <v>8850</v>
          </cell>
          <cell r="B1324" t="str">
            <v>CENTRO DE COSTO NO EXISTE!!!</v>
          </cell>
        </row>
        <row r="1325">
          <cell r="A1325">
            <v>8852</v>
          </cell>
          <cell r="B1325" t="str">
            <v>ESTUDIOS DE DEMANDA</v>
          </cell>
        </row>
        <row r="1326">
          <cell r="A1326">
            <v>8853</v>
          </cell>
          <cell r="B1326" t="str">
            <v>CENTRO DE COSTO NO EXISTE!!!</v>
          </cell>
        </row>
        <row r="1327">
          <cell r="A1327">
            <v>8854</v>
          </cell>
          <cell r="B1327" t="str">
            <v>OBRAS CAROLINA Y GUATAPE</v>
          </cell>
        </row>
        <row r="1328">
          <cell r="A1328">
            <v>8855</v>
          </cell>
          <cell r="B1328" t="str">
            <v>CENTRO DE COSTO NO EXISTE!!!</v>
          </cell>
        </row>
        <row r="1329">
          <cell r="A1329">
            <v>8862</v>
          </cell>
          <cell r="B1329" t="str">
            <v>ADECUACION DESPACHOS ENER Y SUSC</v>
          </cell>
        </row>
        <row r="1330">
          <cell r="A1330">
            <v>8863</v>
          </cell>
          <cell r="B1330" t="str">
            <v>PARQUE RECREACIONAL PIEDRAS BLAN</v>
          </cell>
        </row>
        <row r="1331">
          <cell r="A1331">
            <v>8864</v>
          </cell>
          <cell r="B1331" t="str">
            <v>CENTRO DE COSTO NO EXISTE!!!</v>
          </cell>
        </row>
        <row r="1332">
          <cell r="A1332">
            <v>8878</v>
          </cell>
          <cell r="B1332" t="str">
            <v>AJ POR INFL PLANTA GENERAL</v>
          </cell>
        </row>
        <row r="1333">
          <cell r="A1333">
            <v>8879</v>
          </cell>
          <cell r="B1333" t="str">
            <v>AJ POR INFL PLANTA GENERAL</v>
          </cell>
        </row>
        <row r="1334">
          <cell r="A1334">
            <v>8880</v>
          </cell>
          <cell r="B1334" t="str">
            <v>AJ X INFL PTA GENERAL</v>
          </cell>
        </row>
        <row r="1335">
          <cell r="A1335">
            <v>8881</v>
          </cell>
          <cell r="B1335" t="str">
            <v>AJ X INFL PTA GENERAL</v>
          </cell>
        </row>
        <row r="1336">
          <cell r="A1336">
            <v>8882</v>
          </cell>
          <cell r="B1336" t="str">
            <v>CENTRO DE COSTO NO EXISTE!!!</v>
          </cell>
        </row>
        <row r="1337">
          <cell r="A1337">
            <v>8893</v>
          </cell>
          <cell r="B1337" t="str">
            <v>PLAN PARQUES ECOLOGICOS</v>
          </cell>
        </row>
        <row r="1338">
          <cell r="A1338">
            <v>8894</v>
          </cell>
          <cell r="B1338" t="str">
            <v>PARQUE DE LAS AGUAS</v>
          </cell>
        </row>
        <row r="1339">
          <cell r="A1339">
            <v>8895</v>
          </cell>
          <cell r="B1339" t="str">
            <v>CENTRO DE COSTO NO EXISTE!!!</v>
          </cell>
        </row>
        <row r="1340">
          <cell r="A1340">
            <v>8903</v>
          </cell>
          <cell r="B1340" t="str">
            <v>INTERVENTORIA EDIFICIO EPM</v>
          </cell>
        </row>
        <row r="1341">
          <cell r="A1341">
            <v>8904</v>
          </cell>
          <cell r="B1341" t="str">
            <v>CENTRO DE COSTO NO EXISTE!!!</v>
          </cell>
        </row>
        <row r="1342">
          <cell r="A1342">
            <v>8905</v>
          </cell>
          <cell r="B1342" t="str">
            <v>COSTOS CONCURRENTES EDIFICIO EPM</v>
          </cell>
        </row>
        <row r="1343">
          <cell r="A1343">
            <v>8906</v>
          </cell>
          <cell r="B1343" t="str">
            <v>INGENIERIA Y ADMON EDIFICIO EPM</v>
          </cell>
        </row>
        <row r="1344">
          <cell r="A1344">
            <v>8907</v>
          </cell>
          <cell r="B1344" t="str">
            <v>CENTRO DE COSTO NO EXISTE!!!</v>
          </cell>
        </row>
        <row r="1345">
          <cell r="A1345">
            <v>8912</v>
          </cell>
          <cell r="B1345" t="str">
            <v>ESTRUCTURAS METALICAS EDIF EPM</v>
          </cell>
        </row>
        <row r="1346">
          <cell r="A1346">
            <v>8913</v>
          </cell>
          <cell r="B1346" t="str">
            <v>CENTRO DE COSTO NO EXISTE!!!</v>
          </cell>
        </row>
        <row r="1347">
          <cell r="A1347">
            <v>8914</v>
          </cell>
          <cell r="B1347" t="str">
            <v>AMOBLAM Y SENALIZ EDIFICIO EPM</v>
          </cell>
        </row>
        <row r="1348">
          <cell r="A1348">
            <v>8915</v>
          </cell>
          <cell r="B1348" t="str">
            <v>CENTRO DE COSTO NO EXISTE!!!</v>
          </cell>
        </row>
        <row r="1349">
          <cell r="A1349">
            <v>8916</v>
          </cell>
          <cell r="B1349" t="str">
            <v>ACABADOS GRALES EDIFICIO EPM</v>
          </cell>
        </row>
        <row r="1350">
          <cell r="A1350">
            <v>8917</v>
          </cell>
          <cell r="B1350" t="str">
            <v>CENTRO DE COSTO NO EXISTE!!!</v>
          </cell>
        </row>
        <row r="1351">
          <cell r="A1351">
            <v>8920</v>
          </cell>
          <cell r="B1351" t="str">
            <v>SISTEMA DE AIRE ACOND EDIF EPM</v>
          </cell>
        </row>
        <row r="1352">
          <cell r="A1352">
            <v>8921</v>
          </cell>
          <cell r="B1352" t="str">
            <v>TRANSP VERT E INCLINADO EDIF EPM</v>
          </cell>
        </row>
        <row r="1353">
          <cell r="A1353">
            <v>8922</v>
          </cell>
          <cell r="B1353" t="str">
            <v>CENTRO DE COSTO NO EXISTE!!!</v>
          </cell>
        </row>
        <row r="1354">
          <cell r="A1354">
            <v>8923</v>
          </cell>
          <cell r="B1354" t="str">
            <v>RED ELECT Y COMUNICACIONES EDIF EPM</v>
          </cell>
        </row>
        <row r="1355">
          <cell r="A1355">
            <v>8924</v>
          </cell>
          <cell r="B1355" t="str">
            <v>AUTOMATIZACION EDIFICIO EPM</v>
          </cell>
        </row>
        <row r="1356">
          <cell r="A1356">
            <v>8925</v>
          </cell>
          <cell r="B1356" t="str">
            <v>SISTEMAS DE ILUMINACION EDIF EPM</v>
          </cell>
        </row>
        <row r="1357">
          <cell r="A1357">
            <v>8926</v>
          </cell>
          <cell r="B1357" t="str">
            <v>CENTRO DE COSTO NO EXISTE!!!</v>
          </cell>
        </row>
        <row r="1358">
          <cell r="A1358">
            <v>8927</v>
          </cell>
          <cell r="B1358" t="str">
            <v>EQ ANTIINCENDIO E HIDR EDIF EPM</v>
          </cell>
        </row>
        <row r="1359">
          <cell r="A1359">
            <v>8928</v>
          </cell>
          <cell r="B1359" t="str">
            <v>SIST DE VOZ DAT Y SONID EDIF EPM</v>
          </cell>
        </row>
        <row r="1360">
          <cell r="A1360">
            <v>8929</v>
          </cell>
          <cell r="B1360" t="str">
            <v>ANTICIPO SEDE</v>
          </cell>
        </row>
        <row r="1361">
          <cell r="A1361">
            <v>8930</v>
          </cell>
          <cell r="B1361" t="str">
            <v>CENTRO DE COSTO NO EXISTE!!!</v>
          </cell>
        </row>
        <row r="1362">
          <cell r="A1362">
            <v>8950</v>
          </cell>
          <cell r="B1362" t="str">
            <v>PROYECTO URE EN LA RESIDENCIA</v>
          </cell>
        </row>
        <row r="1363">
          <cell r="A1363">
            <v>8951</v>
          </cell>
          <cell r="B1363" t="str">
            <v>PROYECTO PILOTO URE INDUSTRIA</v>
          </cell>
        </row>
        <row r="1364">
          <cell r="A1364">
            <v>8952</v>
          </cell>
          <cell r="B1364" t="str">
            <v>INVESTIGACION Y DESARROLLO URE</v>
          </cell>
        </row>
        <row r="1365">
          <cell r="A1365">
            <v>8953</v>
          </cell>
          <cell r="B1365" t="str">
            <v>CENTRO DE COSTO NO EXISTE!!!</v>
          </cell>
        </row>
        <row r="1366">
          <cell r="A1366">
            <v>8959</v>
          </cell>
          <cell r="B1366" t="str">
            <v>INGENIERIA Y ADMON U.R.E.</v>
          </cell>
        </row>
        <row r="1367">
          <cell r="A1367">
            <v>8960</v>
          </cell>
          <cell r="B1367" t="str">
            <v>ALUMBRADO PUBLICO EFICIENTE</v>
          </cell>
        </row>
        <row r="1368">
          <cell r="A1368">
            <v>8961</v>
          </cell>
          <cell r="B1368" t="str">
            <v>CENTRO DE COSTO NO EXISTE!!!</v>
          </cell>
        </row>
        <row r="1369">
          <cell r="A1369">
            <v>8971</v>
          </cell>
          <cell r="B1369" t="str">
            <v>PROYECTO ALURE</v>
          </cell>
        </row>
        <row r="1370">
          <cell r="A1370">
            <v>8972</v>
          </cell>
          <cell r="B1370" t="str">
            <v>CENTRO DE COSTO NO EXISTE!!!</v>
          </cell>
        </row>
        <row r="1371">
          <cell r="A1371">
            <v>8974</v>
          </cell>
          <cell r="B1371" t="str">
            <v>CAMPANA NACIONAL URE</v>
          </cell>
        </row>
        <row r="1372">
          <cell r="A1372">
            <v>8975</v>
          </cell>
          <cell r="B1372" t="str">
            <v>CENTRO DE COSTO NO EXISTE!!!</v>
          </cell>
        </row>
        <row r="1373">
          <cell r="A1373">
            <v>8979</v>
          </cell>
          <cell r="B1373" t="str">
            <v>ANTICIPOS U.R.E.</v>
          </cell>
        </row>
        <row r="1374">
          <cell r="A1374">
            <v>8980</v>
          </cell>
          <cell r="B1374" t="str">
            <v>CENTRO DE COSTO NO EXISTE!!!</v>
          </cell>
        </row>
        <row r="1375">
          <cell r="A1375">
            <v>8989</v>
          </cell>
          <cell r="B1375" t="str">
            <v>AJ POR INFL USO RACIONAL ENERGIA</v>
          </cell>
        </row>
        <row r="1376">
          <cell r="A1376">
            <v>8990</v>
          </cell>
          <cell r="B1376" t="str">
            <v>CENTRO DE COSTO NO EXISTE!!!</v>
          </cell>
        </row>
        <row r="1377">
          <cell r="A1377">
            <v>8999</v>
          </cell>
          <cell r="B1377" t="str">
            <v>ANTICIPOS PROGRAMAS GENERALES</v>
          </cell>
        </row>
        <row r="1378">
          <cell r="A1378">
            <v>9000</v>
          </cell>
          <cell r="B1378" t="str">
            <v>DIRECCION DE INFORMATICA</v>
          </cell>
        </row>
        <row r="1379">
          <cell r="A1379">
            <v>9001</v>
          </cell>
          <cell r="B1379" t="str">
            <v>CAPACIDAD EQUIPOS CORPORATIVOS</v>
          </cell>
        </row>
        <row r="1380">
          <cell r="A1380">
            <v>9002</v>
          </cell>
          <cell r="B1380" t="str">
            <v>PROYECTO GACELA</v>
          </cell>
        </row>
        <row r="1381">
          <cell r="A1381">
            <v>9003</v>
          </cell>
          <cell r="B1381" t="str">
            <v>RED COMUNICACION DE DATOS</v>
          </cell>
        </row>
        <row r="1382">
          <cell r="A1382">
            <v>9004</v>
          </cell>
          <cell r="B1382" t="str">
            <v>METODOLOGIA PARA DRROLLO SIST.</v>
          </cell>
        </row>
        <row r="1383">
          <cell r="A1383">
            <v>9005</v>
          </cell>
          <cell r="B1383" t="str">
            <v>CENTRO DE COSTO NO EXISTE!!!</v>
          </cell>
        </row>
        <row r="1384">
          <cell r="A1384">
            <v>9007</v>
          </cell>
          <cell r="B1384" t="str">
            <v>UNIDAD PLANEACION INFORMATICA</v>
          </cell>
        </row>
        <row r="1385">
          <cell r="A1385">
            <v>9008</v>
          </cell>
          <cell r="B1385" t="str">
            <v>CENTRO DE COSTO NO EXISTE!!!</v>
          </cell>
        </row>
        <row r="1386">
          <cell r="A1386">
            <v>9009</v>
          </cell>
          <cell r="B1386" t="str">
            <v>GRUPO SIGMA</v>
          </cell>
        </row>
        <row r="1387">
          <cell r="A1387">
            <v>9010</v>
          </cell>
          <cell r="B1387" t="str">
            <v>DPTO CONTRATACION Y LICITACION</v>
          </cell>
        </row>
        <row r="1388">
          <cell r="A1388">
            <v>9011</v>
          </cell>
          <cell r="B1388" t="str">
            <v xml:space="preserve">CENTRO DE COSTO NO EXISTE!!! </v>
          </cell>
        </row>
        <row r="1389">
          <cell r="A1389">
            <v>9020</v>
          </cell>
          <cell r="B1389" t="str">
            <v>UNIDAD DE GESTION INFORMATICA</v>
          </cell>
        </row>
        <row r="1390">
          <cell r="A1390">
            <v>9021</v>
          </cell>
          <cell r="B1390" t="str">
            <v>CENTRO DE COSTO NO EXISTE!!!</v>
          </cell>
        </row>
        <row r="1391">
          <cell r="A1391">
            <v>9091</v>
          </cell>
          <cell r="B1391" t="str">
            <v>AJ POR INFL PLAN M INFORMATICA</v>
          </cell>
        </row>
        <row r="1392">
          <cell r="A1392">
            <v>9092</v>
          </cell>
          <cell r="B1392" t="str">
            <v>AJ POR INFL PLAN M INFORMATICA</v>
          </cell>
        </row>
        <row r="1393">
          <cell r="A1393">
            <v>9093</v>
          </cell>
          <cell r="B1393" t="str">
            <v>AJ X INFL PLAN MAEST INFORMATC</v>
          </cell>
        </row>
        <row r="1394">
          <cell r="A1394">
            <v>9094</v>
          </cell>
          <cell r="B1394" t="str">
            <v>AJ POR INFL P MAEST INFORMATIC</v>
          </cell>
        </row>
        <row r="1395">
          <cell r="A1395">
            <v>9095</v>
          </cell>
          <cell r="B1395" t="str">
            <v>CENTRO DE COSTO NO EXISTE!!!</v>
          </cell>
        </row>
        <row r="1396">
          <cell r="A1396">
            <v>9099</v>
          </cell>
          <cell r="B1396" t="str">
            <v>DLLO PROY INTERNOS INFORMATICA</v>
          </cell>
        </row>
        <row r="1397">
          <cell r="A1397">
            <v>9100</v>
          </cell>
          <cell r="B1397" t="str">
            <v>DIVISION DESARROLLO INFORMATIC</v>
          </cell>
        </row>
        <row r="1398">
          <cell r="A1398">
            <v>9101</v>
          </cell>
          <cell r="B1398" t="str">
            <v>GRUPO PROYECTOS ESPECIALES</v>
          </cell>
        </row>
        <row r="1399">
          <cell r="A1399">
            <v>9102</v>
          </cell>
          <cell r="B1399" t="str">
            <v>CENTRO DE COSTO NO EXISTE!!!</v>
          </cell>
        </row>
        <row r="1400">
          <cell r="A1400">
            <v>9110</v>
          </cell>
          <cell r="B1400" t="str">
            <v>DPTO DESARROLLO SISTEMAS DE IN</v>
          </cell>
        </row>
        <row r="1401">
          <cell r="A1401">
            <v>9111</v>
          </cell>
          <cell r="B1401" t="str">
            <v>CENTRO DE COSTO NO EXISTE!!!</v>
          </cell>
        </row>
        <row r="1402">
          <cell r="A1402">
            <v>9120</v>
          </cell>
          <cell r="B1402" t="str">
            <v>DPTO MTO SISTEMAS DE INFORMACI</v>
          </cell>
        </row>
        <row r="1403">
          <cell r="A1403">
            <v>9121</v>
          </cell>
          <cell r="B1403" t="str">
            <v>CENTRO DE COSTO NO EXISTE!!!</v>
          </cell>
        </row>
        <row r="1404">
          <cell r="A1404">
            <v>9200</v>
          </cell>
          <cell r="B1404" t="str">
            <v>DIVISION OPERATIVA INFORMATICA</v>
          </cell>
        </row>
        <row r="1405">
          <cell r="A1405">
            <v>9201</v>
          </cell>
          <cell r="B1405" t="str">
            <v>CENTRO DE COSTO NO EXISTE!!!</v>
          </cell>
        </row>
        <row r="1406">
          <cell r="A1406">
            <v>9210</v>
          </cell>
          <cell r="B1406" t="str">
            <v>DEPARTAMENTO SOPORTE TECNICO</v>
          </cell>
        </row>
        <row r="1407">
          <cell r="A1407">
            <v>9211</v>
          </cell>
          <cell r="B1407" t="str">
            <v>CENTRO DE COSTO NO EXISTE!!!</v>
          </cell>
        </row>
        <row r="1408">
          <cell r="A1408">
            <v>9220</v>
          </cell>
          <cell r="B1408" t="str">
            <v>DEPTO DE OPERACIONES INFORMATI</v>
          </cell>
        </row>
        <row r="1409">
          <cell r="A1409">
            <v>9221</v>
          </cell>
          <cell r="B1409" t="str">
            <v>CENTRO DE COSTO NO EXISTE!!!</v>
          </cell>
        </row>
        <row r="1410">
          <cell r="A1410">
            <v>9230</v>
          </cell>
          <cell r="B1410" t="str">
            <v>DEPTO. REDES INFORMATICA</v>
          </cell>
        </row>
        <row r="1411">
          <cell r="A1411">
            <v>9231</v>
          </cell>
          <cell r="B1411" t="str">
            <v>CENTRO DE COSTO NO EXISTE!!!</v>
          </cell>
        </row>
        <row r="1412">
          <cell r="A1412">
            <v>9300</v>
          </cell>
          <cell r="B1412" t="str">
            <v>CAPACITACION INFORMATICA</v>
          </cell>
        </row>
        <row r="1413">
          <cell r="A1413">
            <v>9301</v>
          </cell>
          <cell r="B1413" t="str">
            <v>SISTEMA INFORMACION ADMON CONT</v>
          </cell>
        </row>
        <row r="1414">
          <cell r="A1414">
            <v>9302</v>
          </cell>
          <cell r="B1414" t="str">
            <v>BASE DE DATOS HIDROMETEOROLOGI</v>
          </cell>
        </row>
        <row r="1415">
          <cell r="A1415">
            <v>9303</v>
          </cell>
          <cell r="B1415" t="str">
            <v>CENTRO DE COSTO NO EXISTE!!!</v>
          </cell>
        </row>
        <row r="1416">
          <cell r="A1416">
            <v>9305</v>
          </cell>
          <cell r="B1416" t="str">
            <v>GEST AUTOMATIZ MAT Y MTTO GAMMA</v>
          </cell>
        </row>
        <row r="1417">
          <cell r="A1417">
            <v>9306</v>
          </cell>
          <cell r="B1417" t="str">
            <v>SIST.INFORM. DEL CIGAT</v>
          </cell>
        </row>
        <row r="1418">
          <cell r="A1418">
            <v>9307</v>
          </cell>
          <cell r="B1418" t="str">
            <v>CENTRO DE COSTO NO EXISTE!!!</v>
          </cell>
        </row>
        <row r="1419">
          <cell r="A1419">
            <v>9309</v>
          </cell>
          <cell r="B1419" t="str">
            <v>SIST.INFORM.CONTROL PERD.TCAS</v>
          </cell>
        </row>
        <row r="1420">
          <cell r="A1420">
            <v>9310</v>
          </cell>
          <cell r="B1420" t="str">
            <v>CENTRO DE COSTO NO EXISTE!!!</v>
          </cell>
        </row>
        <row r="1421">
          <cell r="A1421">
            <v>9312</v>
          </cell>
          <cell r="B1421" t="str">
            <v>DIS DE RED ASIST POR COMP</v>
          </cell>
        </row>
        <row r="1422">
          <cell r="A1422">
            <v>9313</v>
          </cell>
          <cell r="B1422" t="str">
            <v>CENTRO DE COSTO NO EXISTE!!!</v>
          </cell>
        </row>
        <row r="1423">
          <cell r="A1423">
            <v>9315</v>
          </cell>
          <cell r="B1423" t="str">
            <v>PROYECTO GESTAR</v>
          </cell>
        </row>
        <row r="1424">
          <cell r="A1424">
            <v>9316</v>
          </cell>
          <cell r="B1424" t="str">
            <v>PROYECTO MULTIMEDIA</v>
          </cell>
        </row>
        <row r="1425">
          <cell r="A1425">
            <v>9317</v>
          </cell>
          <cell r="B1425" t="str">
            <v>CENTRO DE COSTO NO EXISTE!!!</v>
          </cell>
        </row>
        <row r="1426">
          <cell r="A1426">
            <v>9318</v>
          </cell>
          <cell r="B1426" t="str">
            <v>ADQUISICION PAQUETE MANEJO GESTION</v>
          </cell>
        </row>
        <row r="1427">
          <cell r="A1427">
            <v>9319</v>
          </cell>
          <cell r="B1427" t="str">
            <v>DESARROLLO COMUNICACIÓN DE DATOS</v>
          </cell>
        </row>
        <row r="1428">
          <cell r="A1428">
            <v>9320</v>
          </cell>
          <cell r="B1428" t="str">
            <v>SOPORTE MANTENIMIENTO  D.R.C.</v>
          </cell>
        </row>
        <row r="1429">
          <cell r="A1429">
            <v>9321</v>
          </cell>
          <cell r="B1429" t="str">
            <v>GROUPWARE</v>
          </cell>
        </row>
        <row r="1430">
          <cell r="A1430">
            <v>9322</v>
          </cell>
          <cell r="B1430" t="str">
            <v>PROYECTO PIBOT CORPORATIVO</v>
          </cell>
        </row>
        <row r="1431">
          <cell r="A1431">
            <v>9323</v>
          </cell>
          <cell r="B1431" t="str">
            <v>PAQUETE PRONOSTICO DE CAUDALES</v>
          </cell>
        </row>
        <row r="1432">
          <cell r="A1432">
            <v>9324</v>
          </cell>
          <cell r="B1432" t="str">
            <v>CENTRO DE COSTO NO EXISTE!!!</v>
          </cell>
        </row>
        <row r="1433">
          <cell r="A1433">
            <v>9326</v>
          </cell>
          <cell r="B1433" t="str">
            <v>PROYECTO METODOLOGIA FASE II</v>
          </cell>
        </row>
        <row r="1434">
          <cell r="A1434">
            <v>9327</v>
          </cell>
          <cell r="B1434" t="str">
            <v>HW PROYECTOS DE TECNOLOGIA</v>
          </cell>
        </row>
        <row r="1435">
          <cell r="A1435">
            <v>9328</v>
          </cell>
          <cell r="B1435" t="str">
            <v>CENTRO DE COSTO NO EXISTE!!!</v>
          </cell>
        </row>
        <row r="1436">
          <cell r="A1436">
            <v>9330</v>
          </cell>
          <cell r="B1436" t="str">
            <v>PLAN DES. INF. GEREN. DISTRIB. ENERGIA</v>
          </cell>
        </row>
        <row r="1437">
          <cell r="A1437">
            <v>9331</v>
          </cell>
          <cell r="B1437" t="str">
            <v>CENTRO DE COSTO NO EXISTE!!!</v>
          </cell>
        </row>
        <row r="1438">
          <cell r="A1438">
            <v>9361</v>
          </cell>
          <cell r="B1438" t="str">
            <v>SW MICROS SERVIDORES Y EQ.DPTL</v>
          </cell>
        </row>
        <row r="1439">
          <cell r="A1439">
            <v>9362</v>
          </cell>
          <cell r="B1439" t="str">
            <v>CENTRO DE COSTO NO EXISTE!!!</v>
          </cell>
        </row>
        <row r="1440">
          <cell r="A1440">
            <v>9366</v>
          </cell>
          <cell r="B1440" t="str">
            <v>PROYECTO SIGMA CON RECURSOS PROP.</v>
          </cell>
        </row>
        <row r="1441">
          <cell r="A1441">
            <v>9367</v>
          </cell>
          <cell r="B1441" t="str">
            <v>ASESORIA Y SOPORTE TECN. SIGMA</v>
          </cell>
        </row>
        <row r="1442">
          <cell r="A1442">
            <v>9368</v>
          </cell>
          <cell r="B1442" t="str">
            <v>CAPACITACION SIGMA</v>
          </cell>
        </row>
        <row r="1443">
          <cell r="A1443">
            <v>9369</v>
          </cell>
          <cell r="B1443" t="str">
            <v>DESARROLLO APLICACIONES SIGMA</v>
          </cell>
        </row>
        <row r="1444">
          <cell r="A1444">
            <v>9370</v>
          </cell>
          <cell r="B1444" t="str">
            <v>CONVERSION BASE GEOGRAFICA SIGMA</v>
          </cell>
        </row>
        <row r="1445">
          <cell r="A1445">
            <v>9371</v>
          </cell>
          <cell r="B1445" t="str">
            <v>PROY. PILOTO SIGMA BIRF 2449</v>
          </cell>
        </row>
        <row r="1446">
          <cell r="A1446">
            <v>9372</v>
          </cell>
          <cell r="B1446" t="str">
            <v>CONVERSION REDES ACUEDUCTO</v>
          </cell>
        </row>
        <row r="1447">
          <cell r="A1447">
            <v>9373</v>
          </cell>
          <cell r="B1447" t="str">
            <v>CONVERSION REDES ALCANTARILLADO</v>
          </cell>
        </row>
        <row r="1448">
          <cell r="A1448">
            <v>9374</v>
          </cell>
          <cell r="B1448" t="str">
            <v>CONVERSION REDES DISTRIBUCION</v>
          </cell>
        </row>
        <row r="1449">
          <cell r="A1449">
            <v>9375</v>
          </cell>
          <cell r="B1449" t="str">
            <v>CONVERSION REDES TELEFONOS</v>
          </cell>
        </row>
        <row r="1450">
          <cell r="A1450">
            <v>9376</v>
          </cell>
          <cell r="B1450" t="str">
            <v>HW SW Y APLICATIVOS ACUEDUCTO</v>
          </cell>
        </row>
        <row r="1451">
          <cell r="A1451">
            <v>9377</v>
          </cell>
          <cell r="B1451" t="str">
            <v>HW SW Y APLICATIVOS SANEAMIENTO</v>
          </cell>
        </row>
        <row r="1452">
          <cell r="A1452">
            <v>9378</v>
          </cell>
          <cell r="B1452" t="str">
            <v>HW SW Y APLICATIVOS ENERGIA</v>
          </cell>
        </row>
        <row r="1453">
          <cell r="A1453">
            <v>9379</v>
          </cell>
          <cell r="B1453" t="str">
            <v>HW SW Y APLICATIVOS TELECOMUN.</v>
          </cell>
        </row>
        <row r="1454">
          <cell r="A1454">
            <v>9380</v>
          </cell>
          <cell r="B1454" t="str">
            <v>POLIGONO</v>
          </cell>
        </row>
        <row r="1455">
          <cell r="A1455">
            <v>9381</v>
          </cell>
          <cell r="B1455" t="str">
            <v>HW SW Y APLICATIVOS GAS</v>
          </cell>
        </row>
        <row r="1456">
          <cell r="A1456">
            <v>9382</v>
          </cell>
          <cell r="B1456" t="str">
            <v>CONVERSION REDES GAS</v>
          </cell>
        </row>
        <row r="1457">
          <cell r="A1457">
            <v>9383</v>
          </cell>
          <cell r="B1457" t="str">
            <v>CENTRO DE COSTO NO EXISTE!!!</v>
          </cell>
        </row>
        <row r="1458">
          <cell r="A1458">
            <v>9395</v>
          </cell>
          <cell r="B1458" t="str">
            <v>SIGA</v>
          </cell>
        </row>
        <row r="1459">
          <cell r="A1459">
            <v>9396</v>
          </cell>
          <cell r="B1459" t="str">
            <v>CENTRO DE COSTO NO EXISTE!!!</v>
          </cell>
        </row>
        <row r="1460">
          <cell r="A1460">
            <v>9402</v>
          </cell>
          <cell r="B1460" t="str">
            <v>EVOLUCION SISTEMA DANOS ACUEDUCTO</v>
          </cell>
        </row>
        <row r="1461">
          <cell r="A1461">
            <v>9403</v>
          </cell>
          <cell r="B1461" t="str">
            <v>CENTRO DE COSTO NO EXISTE!!!</v>
          </cell>
        </row>
        <row r="1462">
          <cell r="A1462">
            <v>9411</v>
          </cell>
          <cell r="B1462" t="str">
            <v>ALURE PERDIDAS</v>
          </cell>
        </row>
        <row r="1463">
          <cell r="A1463">
            <v>9412</v>
          </cell>
          <cell r="B1463" t="str">
            <v>PROYECTO ALURE COSTOS</v>
          </cell>
        </row>
        <row r="1464">
          <cell r="A1464">
            <v>9413</v>
          </cell>
          <cell r="B1464" t="str">
            <v>SISTEMA INFORM. COMERCIALIZACION ENERGIA</v>
          </cell>
        </row>
        <row r="1465">
          <cell r="A1465">
            <v>9414</v>
          </cell>
          <cell r="B1465" t="str">
            <v>CENTRO DE COSTO NO EXISTE!!!</v>
          </cell>
        </row>
        <row r="1466">
          <cell r="A1466">
            <v>9421</v>
          </cell>
          <cell r="B1466" t="str">
            <v>SISTEMA INFORM. PARA LA BOLSA DE ENERGIA</v>
          </cell>
        </row>
        <row r="1467">
          <cell r="A1467">
            <v>9422</v>
          </cell>
          <cell r="B1467" t="str">
            <v>SIST. INFORM. STO. GESTION GCIA. GENERAC</v>
          </cell>
        </row>
        <row r="1468">
          <cell r="A1468">
            <v>9423</v>
          </cell>
          <cell r="B1468" t="str">
            <v>SISTEMA INFORM. PARA GESTION MERCADEO</v>
          </cell>
        </row>
        <row r="1469">
          <cell r="A1469">
            <v>9424</v>
          </cell>
          <cell r="B1469" t="str">
            <v>SIST. INFORM. GESTION FIN. GCIA. GENERAC</v>
          </cell>
        </row>
        <row r="1470">
          <cell r="A1470">
            <v>9425</v>
          </cell>
          <cell r="B1470" t="str">
            <v>CENTRO DE COSTO NO EXISTE!!!</v>
          </cell>
        </row>
        <row r="1471">
          <cell r="A1471">
            <v>9430</v>
          </cell>
          <cell r="B1471" t="str">
            <v>EPM BOGOTA S.A. E.S.P.</v>
          </cell>
        </row>
        <row r="1472">
          <cell r="A1472">
            <v>9431</v>
          </cell>
          <cell r="B1472" t="str">
            <v>CENTRO DE COSTO NO EXISTE!!!</v>
          </cell>
        </row>
        <row r="1473">
          <cell r="A1473">
            <v>9441</v>
          </cell>
          <cell r="B1473" t="str">
            <v>SISTEMA DE INFORMACION TESORERIA</v>
          </cell>
        </row>
        <row r="1474">
          <cell r="A1474">
            <v>9442</v>
          </cell>
          <cell r="B1474" t="str">
            <v>SISTEMA DE INFORMACION REVISIONES</v>
          </cell>
        </row>
        <row r="1475">
          <cell r="A1475">
            <v>9443</v>
          </cell>
          <cell r="B1475" t="str">
            <v>SISTEMA DE INFORMACION FINANCIERO</v>
          </cell>
        </row>
        <row r="1476">
          <cell r="A1476">
            <v>9444</v>
          </cell>
          <cell r="B1476" t="str">
            <v>SISTEMA DE INFORMACION SEGUROS</v>
          </cell>
        </row>
        <row r="1477">
          <cell r="A1477">
            <v>9445</v>
          </cell>
          <cell r="B1477" t="str">
            <v>PROYECTO SOLUCIONES ANO 2000</v>
          </cell>
        </row>
        <row r="1478">
          <cell r="A1478">
            <v>9446</v>
          </cell>
          <cell r="B1478" t="str">
            <v>CENTRO DE COSTO NO EXISTE!!!</v>
          </cell>
        </row>
        <row r="1479">
          <cell r="A1479">
            <v>9451</v>
          </cell>
          <cell r="B1479" t="str">
            <v>SIST. INF. INVENTARIOS (CARTERA, LOTES)</v>
          </cell>
        </row>
        <row r="1480">
          <cell r="A1480">
            <v>9452</v>
          </cell>
          <cell r="B1480" t="str">
            <v>SISTEMA INTEGRADO INFORMACION BIBLIOTECA</v>
          </cell>
        </row>
        <row r="1481">
          <cell r="A1481">
            <v>9453</v>
          </cell>
          <cell r="B1481" t="str">
            <v>SISTEMA POS-PROVEEDURIA</v>
          </cell>
        </row>
        <row r="1482">
          <cell r="A1482">
            <v>9454</v>
          </cell>
          <cell r="B1482" t="str">
            <v>AMPLIACION RED CORPORATIVA EEPPM</v>
          </cell>
        </row>
        <row r="1483">
          <cell r="A1483">
            <v>9455</v>
          </cell>
          <cell r="B1483" t="str">
            <v>SEGURIDAD DE LA INFRAESTRUCTURA INFORM.</v>
          </cell>
        </row>
        <row r="1484">
          <cell r="A1484">
            <v>9456</v>
          </cell>
          <cell r="B1484" t="str">
            <v>ADMINISTRACION DE LA INFRAESTRUCTURA INF</v>
          </cell>
        </row>
        <row r="1485">
          <cell r="A1485">
            <v>9457</v>
          </cell>
          <cell r="B1485" t="str">
            <v>COMUNICACION ORGANIZACIONAL ELECTRONICA</v>
          </cell>
        </row>
        <row r="1486">
          <cell r="A1486">
            <v>9458</v>
          </cell>
          <cell r="B1486" t="str">
            <v>CENTRO DE COSTO NO EXISTE!!!</v>
          </cell>
        </row>
        <row r="1487">
          <cell r="A1487">
            <v>9460</v>
          </cell>
          <cell r="B1487" t="str">
            <v>PROYECTO TRIPLE-E</v>
          </cell>
        </row>
        <row r="1488">
          <cell r="A1488">
            <v>9461</v>
          </cell>
          <cell r="B1488" t="str">
            <v>PROYECTO INFRAGAS</v>
          </cell>
        </row>
        <row r="1489">
          <cell r="A1489">
            <v>9462</v>
          </cell>
          <cell r="B1489" t="str">
            <v>PROYECTO COM-GAS</v>
          </cell>
        </row>
        <row r="1490">
          <cell r="A1490">
            <v>9463</v>
          </cell>
          <cell r="B1490" t="str">
            <v>PROYECTO DISGAS</v>
          </cell>
        </row>
        <row r="1491">
          <cell r="A1491">
            <v>9464</v>
          </cell>
          <cell r="B1491" t="str">
            <v>PROYECTO CONTRATAR</v>
          </cell>
        </row>
        <row r="1492">
          <cell r="A1492">
            <v>9465</v>
          </cell>
          <cell r="B1492" t="str">
            <v>CENTRO DE COSTO NO EXISTE!!!</v>
          </cell>
        </row>
        <row r="1493">
          <cell r="A1493">
            <v>9991</v>
          </cell>
          <cell r="B1493" t="str">
            <v>ANTICIPOS ESTUDIOS</v>
          </cell>
        </row>
        <row r="1494">
          <cell r="A1494">
            <v>9992</v>
          </cell>
          <cell r="B1494" t="str">
            <v>CENTRO DE COSTO NO EXISTE</v>
          </cell>
        </row>
      </sheetData>
      <sheetData sheetId="3" refreshError="1">
        <row r="1">
          <cell r="B1" t="str">
            <v>Nombre</v>
          </cell>
        </row>
        <row r="3">
          <cell r="B3" t="str">
            <v>CENTRO DE ACTIVIDAD NO EXISTE!!!</v>
          </cell>
        </row>
        <row r="4">
          <cell r="B4" t="str">
            <v>GERENCIA AUXILIAR</v>
          </cell>
        </row>
        <row r="5">
          <cell r="B5" t="str">
            <v>CENTRO DE ACTIVIDAD NO EXISTE!!!</v>
          </cell>
        </row>
        <row r="6">
          <cell r="B6" t="str">
            <v>GERENCIA DE PLANEACIÓN</v>
          </cell>
        </row>
        <row r="7">
          <cell r="B7" t="str">
            <v>CENTRO DE ACTIVIDAD NO EXISTE!!!</v>
          </cell>
        </row>
        <row r="8">
          <cell r="B8" t="str">
            <v>DIRECCION DE CONTROL INTERNO</v>
          </cell>
        </row>
        <row r="9">
          <cell r="B9" t="str">
            <v>CENTRO DE ACTIVIDAD NO EXISTE!!!</v>
          </cell>
        </row>
        <row r="10">
          <cell r="B10" t="str">
            <v>UNIDAD DE AUDITORIA</v>
          </cell>
        </row>
        <row r="11">
          <cell r="B11" t="str">
            <v>CENTRO DE ACTIVIDAD NO EXISTE!!!</v>
          </cell>
        </row>
        <row r="12">
          <cell r="B12" t="str">
            <v>GERENCIA COMERCIAL</v>
          </cell>
        </row>
        <row r="13">
          <cell r="B13" t="str">
            <v>CENTRO DE ACTIVIDAD NO EXISTE!!!</v>
          </cell>
        </row>
        <row r="14">
          <cell r="B14" t="str">
            <v>SUBGERENCIA MAYORISTAS</v>
          </cell>
        </row>
        <row r="15">
          <cell r="B15" t="str">
            <v>CENTRO DE ACTIVIDAD NO EXISTE!!!</v>
          </cell>
        </row>
        <row r="16">
          <cell r="B16" t="str">
            <v>SUBGERENCIA MERCADEO</v>
          </cell>
        </row>
        <row r="17">
          <cell r="B17" t="str">
            <v>GRUPO DE  INVESTIGACIÓN DE MERCADEO</v>
          </cell>
        </row>
        <row r="18">
          <cell r="B18" t="str">
            <v>GRUPO SERVICIOS BÁSICOS Y COMPLEMENTARIOS</v>
          </cell>
        </row>
        <row r="19">
          <cell r="B19" t="str">
            <v>SERVICIOS TELECOMUNICACIONES</v>
          </cell>
        </row>
        <row r="20">
          <cell r="B20" t="str">
            <v>GRUPO DE COMUNICACIÓN COMERCIAL</v>
          </cell>
        </row>
        <row r="21">
          <cell r="B21" t="str">
            <v>CENTRO DE ACTIVIDAD NO EXISTE!!!</v>
          </cell>
        </row>
        <row r="22">
          <cell r="B22" t="str">
            <v>SUBGERENCIA GRANDES CLIENTES</v>
          </cell>
        </row>
        <row r="23">
          <cell r="B23" t="str">
            <v>ÁREA INDUSTRIAS</v>
          </cell>
        </row>
        <row r="24">
          <cell r="B24" t="str">
            <v>ÁREA FINANCIERAS</v>
          </cell>
        </row>
        <row r="25">
          <cell r="B25" t="str">
            <v>ÁREA COMERCIO Y SERVICIOS</v>
          </cell>
        </row>
        <row r="26">
          <cell r="B26" t="str">
            <v>ÁREA COMPRAS ENERGÍA</v>
          </cell>
        </row>
        <row r="27">
          <cell r="B27" t="str">
            <v>CENTRO DE ACTIVIDAD NO EXISTE!!!</v>
          </cell>
        </row>
        <row r="28">
          <cell r="B28" t="str">
            <v>SUBGERENCIA CLIENTES RESIDENCIALES Y EMP.</v>
          </cell>
        </row>
        <row r="29">
          <cell r="B29" t="str">
            <v>ÁREA VENTAS</v>
          </cell>
        </row>
        <row r="30">
          <cell r="B30" t="str">
            <v>ÁREA SERVICIO AL CLIENTE</v>
          </cell>
        </row>
        <row r="31">
          <cell r="B31" t="str">
            <v>CENTRO DE ACTIVIDAD NO EXISTE!!!</v>
          </cell>
        </row>
        <row r="32">
          <cell r="B32" t="str">
            <v>EQUIPO ATENCIÓN CLIENTES DIFERENTES ZONAS</v>
          </cell>
        </row>
        <row r="33">
          <cell r="B33" t="str">
            <v>CENTRO DE ATENCIÓN DE LLAMADAS</v>
          </cell>
        </row>
        <row r="34">
          <cell r="B34" t="str">
            <v>GESTIÓN CARTERA</v>
          </cell>
        </row>
        <row r="35">
          <cell r="B35" t="str">
            <v>QUEJAS</v>
          </cell>
        </row>
        <row r="36">
          <cell r="B36" t="str">
            <v>CENTRO DE ACTIVIDAD NO EXISTE!!!</v>
          </cell>
        </row>
        <row r="37">
          <cell r="B37" t="str">
            <v>SUBGERENCIA  ADMÓN Y FINANZAS COMERCIAL</v>
          </cell>
        </row>
        <row r="38">
          <cell r="B38" t="str">
            <v>AREA  FINANZAS Y REGULACIÓN COMERCIAL</v>
          </cell>
        </row>
        <row r="39">
          <cell r="B39" t="str">
            <v>AREA GESTIÓN ORGANIZACIONAL COMERCIAL</v>
          </cell>
        </row>
        <row r="40">
          <cell r="B40" t="str">
            <v>AREA  FACTURACIÓN</v>
          </cell>
        </row>
        <row r="41">
          <cell r="B41" t="str">
            <v>AREA OPERATIVA COMERCIAL</v>
          </cell>
        </row>
        <row r="42">
          <cell r="B42" t="str">
            <v>CTIU</v>
          </cell>
        </row>
        <row r="43">
          <cell r="B43" t="str">
            <v>LECTURA Y REPARTICIÓN</v>
          </cell>
        </row>
        <row r="44">
          <cell r="B44" t="str">
            <v>CONTROL INSTALACIONES</v>
          </cell>
        </row>
        <row r="45">
          <cell r="B45" t="str">
            <v>GRUPO TRANSPORTE</v>
          </cell>
        </row>
        <row r="46">
          <cell r="B46" t="str">
            <v>CENTRO DE ACTIVIDAD NO EXISTE!!!</v>
          </cell>
        </row>
        <row r="47">
          <cell r="B47" t="str">
            <v>GERENCIA GENERAL</v>
          </cell>
        </row>
        <row r="48">
          <cell r="B48" t="str">
            <v>CENTRO DE ACTIVIDAD NO EXISTE!!!</v>
          </cell>
        </row>
        <row r="49">
          <cell r="B49" t="str">
            <v>GRUPO DE TRANSFORMACIÓN INTERNA</v>
          </cell>
        </row>
        <row r="50">
          <cell r="B50" t="str">
            <v>CENTRO DE ACTIVIDAD NO EXISTE!!!</v>
          </cell>
        </row>
        <row r="51">
          <cell r="B51" t="str">
            <v>DIRECCION PLANEACION</v>
          </cell>
        </row>
        <row r="52">
          <cell r="B52" t="str">
            <v>CENTRO DE ACTIVIDAD NO EXISTE!!!</v>
          </cell>
        </row>
        <row r="53">
          <cell r="B53" t="str">
            <v>UNIDAD COMUNICAC. Y REL. CORPORATIVAS</v>
          </cell>
        </row>
        <row r="54">
          <cell r="B54" t="str">
            <v>CENTRO DE ACTIVIDAD NO EXISTE!!!</v>
          </cell>
        </row>
        <row r="55">
          <cell r="B55" t="str">
            <v>GERENCIA DE AGUAS</v>
          </cell>
        </row>
        <row r="56">
          <cell r="B56" t="str">
            <v>PLAN DESARROLLO INFORMATICA . A. Y A.</v>
          </cell>
        </row>
        <row r="57">
          <cell r="B57" t="str">
            <v>PLANEACIÓN AGUAS</v>
          </cell>
        </row>
        <row r="58">
          <cell r="B58" t="str">
            <v>CENTRO DE ACTIVIDAD NO EXISTE!!!</v>
          </cell>
        </row>
        <row r="59">
          <cell r="B59" t="str">
            <v>UNIDAD CAPACITACION ACUEDUCTO Y ALCANT.</v>
          </cell>
        </row>
        <row r="60">
          <cell r="B60" t="str">
            <v>CENTRO DE ACTIVIDAD NO EXISTE!!!</v>
          </cell>
        </row>
        <row r="61">
          <cell r="B61" t="str">
            <v>SUBGERENCIA NUEVOS NEGOCIOS</v>
          </cell>
        </row>
        <row r="62">
          <cell r="B62" t="str">
            <v>CENTRO DE ACTIVIDAD NO EXISTE!!!</v>
          </cell>
        </row>
        <row r="63">
          <cell r="B63" t="str">
            <v>SUBGERENCIA ACUEDUCTO</v>
          </cell>
        </row>
        <row r="64">
          <cell r="B64" t="str">
            <v>INVESTIGACIÓN Y DESARROLLO ACUEDUCTO</v>
          </cell>
        </row>
        <row r="65">
          <cell r="B65" t="str">
            <v>CONTROL CALIDAD AGUAS</v>
          </cell>
        </row>
        <row r="66">
          <cell r="B66" t="str">
            <v>INFORMACIÓN AL CLIENTE</v>
          </cell>
        </row>
        <row r="67">
          <cell r="B67" t="str">
            <v>CENTRO DE ACTIVIDAD NO EXISTE!!!</v>
          </cell>
        </row>
        <row r="68">
          <cell r="B68" t="str">
            <v>ÁREA OPERACIÓN ACTO. SISTEMA INTERCONECTADO</v>
          </cell>
        </row>
        <row r="69">
          <cell r="B69" t="str">
            <v>DESPACHO ACUEDUCTO</v>
          </cell>
        </row>
        <row r="70">
          <cell r="B70" t="str">
            <v>OPERACIÓN, SUPERV., INSTAL. Y GESTIÓN AMBIENTAL</v>
          </cell>
        </row>
        <row r="71">
          <cell r="B71" t="str">
            <v>CENTRO DE CONTROL ACUEDUCTO</v>
          </cell>
        </row>
        <row r="72">
          <cell r="B72" t="str">
            <v>OPERACIÓN, SUPERVISIÓN, INSTALACIÓN AGUA TRATADA</v>
          </cell>
        </row>
        <row r="73">
          <cell r="B73" t="str">
            <v>ENERGÍA BOMBEOS DE CAPTACIÓN</v>
          </cell>
        </row>
        <row r="74">
          <cell r="B74" t="str">
            <v>ENERGÍA BOMBEOS DE DISTRIBUCIÓN</v>
          </cell>
        </row>
        <row r="75">
          <cell r="B75" t="str">
            <v>CENTRO DE ACTIVIDAD NO EXISTE!!!</v>
          </cell>
        </row>
        <row r="76">
          <cell r="B76" t="str">
            <v>ÁREA POTABILIZACIÓN AGUA SISTEMA INTERCONECTADO</v>
          </cell>
        </row>
        <row r="77">
          <cell r="B77" t="str">
            <v>CENTRO DE ACTIVIDAD NO EXISTE!!!</v>
          </cell>
        </row>
        <row r="78">
          <cell r="B78" t="str">
            <v>ENERGÍA PLANTAS DE TRATAMIENTO</v>
          </cell>
        </row>
        <row r="79">
          <cell r="B79" t="str">
            <v>CENTRO DE ACTIVIDAD NO EXISTE!!!</v>
          </cell>
        </row>
        <row r="80">
          <cell r="B80" t="str">
            <v>ÁREA INGENIERÍA SISTEMA INTERCONECTADO</v>
          </cell>
        </row>
        <row r="81">
          <cell r="B81" t="str">
            <v>LOGÍSTICA, PROYECTOS Y ANÁLISIS TÉCNICO</v>
          </cell>
        </row>
        <row r="82">
          <cell r="B82" t="str">
            <v>EQUIPOS ELECTROMECANICOS</v>
          </cell>
        </row>
        <row r="83">
          <cell r="B83" t="str">
            <v>OBRAS CIVILES Y CONDUCCIONES</v>
          </cell>
        </row>
        <row r="84">
          <cell r="B84" t="str">
            <v>CENTRO DE ACTIVIDAD NO EXISTE!!!</v>
          </cell>
        </row>
        <row r="85">
          <cell r="B85" t="str">
            <v>ÁREA SISTEMAS INDEPENDIENTES AGUAS</v>
          </cell>
        </row>
        <row r="86">
          <cell r="B86" t="str">
            <v>HABILITACIÓN VIVIENDA, CORREGIMIENTOS Y VEREDAS</v>
          </cell>
        </row>
        <row r="87">
          <cell r="B87" t="str">
            <v>SERVICIO DE INGENIERÍA Y LOGÍSTICA</v>
          </cell>
        </row>
        <row r="88">
          <cell r="B88" t="str">
            <v>SISTEMA CALDAS</v>
          </cell>
        </row>
        <row r="89">
          <cell r="B89" t="str">
            <v>SISTEMA BARBOSA</v>
          </cell>
        </row>
        <row r="90">
          <cell r="B90" t="str">
            <v>SISTEMA SAN ANTONIO DE PRADO</v>
          </cell>
        </row>
        <row r="91">
          <cell r="B91" t="str">
            <v>SISTEMA SAN CRISTOBAL</v>
          </cell>
        </row>
        <row r="92">
          <cell r="B92" t="str">
            <v>SISTEMA PALMITAS</v>
          </cell>
        </row>
        <row r="93">
          <cell r="B93" t="str">
            <v>CENTRO DE ACTIVIDAD NO EXISTE!!!</v>
          </cell>
        </row>
        <row r="94">
          <cell r="B94" t="str">
            <v>ÁREA DISTRIBUCIÓN ACUEDUCTO ZONA SUR</v>
          </cell>
        </row>
        <row r="95">
          <cell r="B95" t="str">
            <v>GESTIÓN PROYECTOS ACUEDUCTO ZONA SUR</v>
          </cell>
        </row>
        <row r="96">
          <cell r="B96" t="str">
            <v>GESTIÓN CLIENTES ACUEDUCTO ZONA SUR</v>
          </cell>
        </row>
        <row r="97">
          <cell r="B97" t="str">
            <v>INVESTIGACIÓN Y CONTROL PÉRDIDAS ACTO ZONA SUR</v>
          </cell>
        </row>
        <row r="98">
          <cell r="B98" t="str">
            <v>OPERACIÓN Y MTTO DISTRIBUCIÓN ACTO ZONA SUR</v>
          </cell>
        </row>
        <row r="99">
          <cell r="B99" t="str">
            <v>CENTRO DE ACTIVIDAD NO EXISTE!!!</v>
          </cell>
        </row>
        <row r="100">
          <cell r="B100" t="str">
            <v>ÁREA DISTRIBUCIÓN ACUEDUCTO ZONA NORTE</v>
          </cell>
        </row>
        <row r="101">
          <cell r="B101" t="str">
            <v>GESTIÓN PROYECTOS ACUEDUCTO ZONA NORTE</v>
          </cell>
        </row>
        <row r="102">
          <cell r="B102" t="str">
            <v>GESTIÓN CLIENTES ACUEDUCTO ZONA NORTE</v>
          </cell>
        </row>
        <row r="103">
          <cell r="B103" t="str">
            <v>INVEST. Y CONTROL PÉRDIDASACUEDUCTO ZONA NORTE</v>
          </cell>
        </row>
        <row r="104">
          <cell r="B104" t="str">
            <v>OPERACIÓN Y MTTO DISTRIBUCIÓN ACTO ZONA NORTE</v>
          </cell>
        </row>
        <row r="105">
          <cell r="B105" t="str">
            <v>CENTRO DE ACTIVIDAD NO EXISTE!!!</v>
          </cell>
        </row>
        <row r="106">
          <cell r="B106" t="str">
            <v>ÁREA DISTRIBUCIÓN ACUEDUCTO ZONA CENTRO</v>
          </cell>
        </row>
        <row r="107">
          <cell r="B107" t="str">
            <v>GESTIÓN PROYECTOS ACUEDUCTO ZONA CENTRO</v>
          </cell>
        </row>
        <row r="108">
          <cell r="B108" t="str">
            <v>GESTIÓN CLIENTES ACUEDUCTO ZONA CENTRO</v>
          </cell>
        </row>
        <row r="109">
          <cell r="B109" t="str">
            <v>INVEST. Y CONTROL PÉRDIDASACTO ZONA CENTRO</v>
          </cell>
        </row>
        <row r="110">
          <cell r="B110" t="str">
            <v>OPERACIÓN Y MTTO DISTRIBUCIÓN ACTO ZONA CENTRO</v>
          </cell>
        </row>
        <row r="111">
          <cell r="B111" t="str">
            <v>CENTRO DE ACTIVIDAD NO EXISTE!!!</v>
          </cell>
        </row>
        <row r="112">
          <cell r="B112" t="str">
            <v>MEDIDORES ZONA CENTRO</v>
          </cell>
        </row>
        <row r="113">
          <cell r="B113" t="str">
            <v>CENTRO DE ACTIVIDAD NO EXISTE!!!</v>
          </cell>
        </row>
        <row r="114">
          <cell r="B114" t="str">
            <v>SUBGERENCIA AGUAS RESIDUALES</v>
          </cell>
        </row>
        <row r="115">
          <cell r="B115" t="str">
            <v>INVESTIGACIÓN Y DESARROLLO AGUAS RESIDUALES</v>
          </cell>
        </row>
        <row r="116">
          <cell r="B116" t="str">
            <v>CENTRO DE ACTIVIDAD NO EXISTE!!!</v>
          </cell>
        </row>
        <row r="117">
          <cell r="B117" t="str">
            <v>ÁREA TRATAMIENTO AGUAS RESIDUALES</v>
          </cell>
        </row>
        <row r="118">
          <cell r="B118" t="str">
            <v>OPERACIÓN PLANTAS AGUAS RESIDUALES</v>
          </cell>
        </row>
        <row r="119">
          <cell r="B119" t="str">
            <v>INVESTIGACIÓN Y CONTROL PROCESOS</v>
          </cell>
        </row>
        <row r="120">
          <cell r="B120" t="str">
            <v>MANTENIMIENTO AGUAS RESIDUALES</v>
          </cell>
        </row>
        <row r="121">
          <cell r="B121" t="str">
            <v>PROYECTOS PLANTAS DE TRATAMIENTO</v>
          </cell>
        </row>
        <row r="122">
          <cell r="B122" t="str">
            <v>CENTRO DE ACTIVIDAD NO EXISTE!!!</v>
          </cell>
        </row>
        <row r="123">
          <cell r="B123" t="str">
            <v>ÁREA RECOLECCIÓN AGUAS RESIDUALES ZONA SUR</v>
          </cell>
        </row>
        <row r="124">
          <cell r="B124" t="str">
            <v>GESTIÓN PROYECTOS RECOLECCIÓN ZONA SUR</v>
          </cell>
        </row>
        <row r="125">
          <cell r="B125" t="str">
            <v>GESTIÓN CLIENTES RECOLECCIÓN ZONA SUR</v>
          </cell>
        </row>
        <row r="126">
          <cell r="B126" t="str">
            <v>INVESTIGACIÓN Y CONTROL RECOLECCIÓN ZONA SUR</v>
          </cell>
        </row>
        <row r="127">
          <cell r="B127" t="str">
            <v>OPERACIÓN Y MTTO RECOLECCIÓN ZONA SUR</v>
          </cell>
        </row>
        <row r="128">
          <cell r="B128" t="str">
            <v>CENTRO DE ACTIVIDAD NO EXISTE!!!</v>
          </cell>
        </row>
        <row r="129">
          <cell r="B129" t="str">
            <v>ÁREA RECOLECCIÓN AGUAS RESIDUALES ZONA NORTE</v>
          </cell>
        </row>
        <row r="130">
          <cell r="B130" t="str">
            <v>GESTIÓN PROYECTOS RECOLECCIÓN ZONA NORTE</v>
          </cell>
        </row>
        <row r="131">
          <cell r="B131" t="str">
            <v>GESTIÓN CLIENTES RECOLECCIÓN ZONA NORTE</v>
          </cell>
        </row>
        <row r="132">
          <cell r="B132" t="str">
            <v>INVESTIGACIÓN Y CONTROL RECOLECCIÓN ZONA NORTE</v>
          </cell>
        </row>
        <row r="133">
          <cell r="B133" t="str">
            <v>OPERACIÓN Y MTTO RECOLECCIÓN ZONA NORTE</v>
          </cell>
        </row>
        <row r="134">
          <cell r="B134" t="str">
            <v>CENTRO DE ACTIVIDAD NO EXISTE!!!</v>
          </cell>
        </row>
        <row r="135">
          <cell r="B135" t="str">
            <v>ÁREA RECOLECCIÓN AGUAS RESIDUALES ZONA CENTRO</v>
          </cell>
        </row>
        <row r="136">
          <cell r="B136" t="str">
            <v>GESTIÓN PROYECTOS RECOLECCIÓN ZONA CENTRO</v>
          </cell>
        </row>
        <row r="137">
          <cell r="B137" t="str">
            <v>GESTIÓN CLIENTES RECOLECCIÓN ZONA CENTRO</v>
          </cell>
        </row>
        <row r="138">
          <cell r="B138" t="str">
            <v>INVESTIGACIÓN Y CONTROL RECOLECCIÓN ZONA CENTRO</v>
          </cell>
        </row>
        <row r="139">
          <cell r="B139" t="str">
            <v>OPERACIÓN Y MTTO RECOLECCIÓN ZONA CENTRO</v>
          </cell>
        </row>
        <row r="140">
          <cell r="B140" t="str">
            <v>PAVIMENTOS</v>
          </cell>
        </row>
        <row r="141">
          <cell r="B141" t="str">
            <v>CENTRO DE ACTIVIDAD NO EXISTE!!!</v>
          </cell>
        </row>
        <row r="142">
          <cell r="B142" t="str">
            <v>SUBGERENCIA DE ADMON Y FINANZAS AGUAS</v>
          </cell>
        </row>
        <row r="143">
          <cell r="B143" t="str">
            <v>CENTRO DE ACTIVIDAD NO EXISTE!!!</v>
          </cell>
        </row>
        <row r="144">
          <cell r="B144" t="str">
            <v>ÁREA FINANZAS AGUAS</v>
          </cell>
        </row>
        <row r="145">
          <cell r="B145" t="str">
            <v>CENTRO DE ACTIVIDAD NO EXISTE!!!</v>
          </cell>
        </row>
        <row r="146">
          <cell r="B146" t="str">
            <v>ÁREA GESTIÓN ORGANIZACIONAL AGUAS</v>
          </cell>
        </row>
        <row r="147">
          <cell r="B147" t="str">
            <v>CAPACITACIÓN AGUAS</v>
          </cell>
        </row>
        <row r="148">
          <cell r="B148" t="str">
            <v>CENTRO DE ACTIVIDAD NO EXISTE!!!</v>
          </cell>
        </row>
        <row r="149">
          <cell r="B149" t="str">
            <v>ÁREA INFORMÁTICA AGUAS</v>
          </cell>
        </row>
        <row r="150">
          <cell r="B150" t="str">
            <v>CENTRO DE ACTIVIDAD NO EXISTE!!!</v>
          </cell>
        </row>
        <row r="151">
          <cell r="B151" t="str">
            <v>GERENCIA GENERACIÓN ENERGÍA</v>
          </cell>
        </row>
        <row r="152">
          <cell r="B152" t="str">
            <v>CENTRO DE ACTIVIDAD NO EXISTE!!!</v>
          </cell>
        </row>
        <row r="153">
          <cell r="B153" t="str">
            <v>SUBGERENCIA PLANEACIÓN GENERACIÓN</v>
          </cell>
        </row>
        <row r="154">
          <cell r="B154" t="str">
            <v>CENTRO DE ACTIVIDAD NO EXISTE!!!</v>
          </cell>
        </row>
        <row r="155">
          <cell r="B155" t="str">
            <v>EST.Y RESCATE ARQUEOLOGICO</v>
          </cell>
        </row>
        <row r="156">
          <cell r="B156" t="str">
            <v>ESTUDIOS SOCIOECONOMICOS</v>
          </cell>
        </row>
        <row r="157">
          <cell r="B157" t="str">
            <v>ESTUDIO PLANTA TERMICA</v>
          </cell>
        </row>
        <row r="158">
          <cell r="B158" t="str">
            <v>CENTRO DE ACTIVIDAD NO EXISTE!!!</v>
          </cell>
        </row>
        <row r="159">
          <cell r="B159" t="str">
            <v>ESTUDIOS EMPRESARIALES</v>
          </cell>
        </row>
        <row r="160">
          <cell r="B160" t="str">
            <v>ESTUDIOS NUEVOS NEGOCIOS</v>
          </cell>
        </row>
        <row r="161">
          <cell r="B161" t="str">
            <v>CENTRO DE ACTIVIDAD NO EXISTE!!!</v>
          </cell>
        </row>
        <row r="162">
          <cell r="B162" t="str">
            <v>ESTUDIOS TERMO CESAR</v>
          </cell>
        </row>
        <row r="163">
          <cell r="B163" t="str">
            <v>CENTRO DE ACTIVIDAD NO EXISTE!!!</v>
          </cell>
        </row>
        <row r="164">
          <cell r="B164" t="str">
            <v>ESTUDIOS RIO SAMANA NORTE</v>
          </cell>
        </row>
        <row r="165">
          <cell r="B165" t="str">
            <v>ESTUDIOS SAN BARTOLOME</v>
          </cell>
        </row>
        <row r="166">
          <cell r="B166" t="str">
            <v>ESTUDIOS SAN ANDRES</v>
          </cell>
        </row>
        <row r="167">
          <cell r="B167" t="str">
            <v>CENTRO DE ACTIVIDAD NO EXISTE!!!</v>
          </cell>
        </row>
        <row r="168">
          <cell r="B168" t="str">
            <v>FACTIBILIDAD PENDERISCO MURRI</v>
          </cell>
        </row>
        <row r="169">
          <cell r="B169" t="str">
            <v>PREFACTIBILIDAD SAN JORGE</v>
          </cell>
        </row>
        <row r="170">
          <cell r="B170" t="str">
            <v>CENTRO DE ACTIVIDAD NO EXISTE!!!</v>
          </cell>
        </row>
        <row r="171">
          <cell r="B171" t="str">
            <v>FACTIBILIDAD HONDA Y OVEJAS</v>
          </cell>
        </row>
        <row r="172">
          <cell r="B172" t="str">
            <v>GASTOS FINANCIEROS NECHI</v>
          </cell>
        </row>
        <row r="173">
          <cell r="B173" t="str">
            <v>GASTOS FINANCIEROS PENDERISCO-MURRI</v>
          </cell>
        </row>
        <row r="174">
          <cell r="B174" t="str">
            <v>EST. OPTIMIZAC. SIST. GUADALUPE</v>
          </cell>
        </row>
        <row r="175">
          <cell r="B175" t="str">
            <v>EST. ISA COLCIENCIAS</v>
          </cell>
        </row>
        <row r="176">
          <cell r="B176" t="str">
            <v>GASTOS FINANCIEROS RIACHON</v>
          </cell>
        </row>
        <row r="177">
          <cell r="B177" t="str">
            <v>ESTUDIOS RIO ARMA</v>
          </cell>
        </row>
        <row r="178">
          <cell r="B178" t="str">
            <v>ESTUDIOS FACTIBIL RIACHON</v>
          </cell>
        </row>
        <row r="179">
          <cell r="B179" t="str">
            <v>LEVANTAMIENTO AEROFOTOGRAMETRICO</v>
          </cell>
        </row>
        <row r="180">
          <cell r="B180" t="str">
            <v>ESTUDIO FACTIBILIDAD GUAICO</v>
          </cell>
        </row>
        <row r="181">
          <cell r="B181" t="str">
            <v>ESTUDIO FACTIBILIDAD NECHI</v>
          </cell>
        </row>
        <row r="182">
          <cell r="B182" t="str">
            <v>PREFACTIBILIDAD PENDERISCO MURRI</v>
          </cell>
        </row>
        <row r="183">
          <cell r="B183" t="str">
            <v>ESTUDIOS VARIOS DE ORDENACIÓN</v>
          </cell>
        </row>
        <row r="184">
          <cell r="B184" t="str">
            <v>QUEBRADA HONDA Y OVEJAS</v>
          </cell>
        </row>
        <row r="185">
          <cell r="B185" t="str">
            <v>CENTRO DE ACTIVIDAD NO EXISTE!!!</v>
          </cell>
        </row>
        <row r="186">
          <cell r="B186" t="str">
            <v>ESTUDIOS ERMITANO</v>
          </cell>
        </row>
        <row r="187">
          <cell r="B187" t="str">
            <v>CENTRO DE ACTIVIDAD NO EXISTE!!!</v>
          </cell>
        </row>
        <row r="188">
          <cell r="B188" t="str">
            <v>ESTUDIOS PORCE III</v>
          </cell>
        </row>
        <row r="189">
          <cell r="B189" t="str">
            <v>CENTRO DE ACTIVIDAD NO EXISTE!!!</v>
          </cell>
        </row>
        <row r="190">
          <cell r="B190" t="str">
            <v>ESTUDIOS DE FACTIBILIDAD</v>
          </cell>
        </row>
        <row r="191">
          <cell r="B191" t="str">
            <v>CENTRO DE ACTIVIDAD NO EXISTE!!!</v>
          </cell>
        </row>
        <row r="192">
          <cell r="B192" t="str">
            <v>AJ POR INFL ESTUDIOS</v>
          </cell>
        </row>
        <row r="193">
          <cell r="B193" t="str">
            <v>AJ POR INFL ESTUDIOS</v>
          </cell>
        </row>
        <row r="194">
          <cell r="B194" t="str">
            <v>AJ POR INFL ESTUDIOS</v>
          </cell>
        </row>
        <row r="195">
          <cell r="B195" t="str">
            <v>AJ POR INFL ESTUDIOS</v>
          </cell>
        </row>
        <row r="196">
          <cell r="B196" t="str">
            <v>CENTRO DE ACTIVIDAD NO EXISTE!!!</v>
          </cell>
        </row>
        <row r="197">
          <cell r="B197" t="str">
            <v>SUBGERENCIA TRANSACCIONES ENERGÍA</v>
          </cell>
        </row>
        <row r="198">
          <cell r="B198" t="str">
            <v>CENTRO DE ACTIVIDAD NO EXISTE!!!</v>
          </cell>
        </row>
        <row r="199">
          <cell r="B199" t="str">
            <v>ÁREA GESTIÓN LARGO PLAZO</v>
          </cell>
        </row>
        <row r="200">
          <cell r="B200" t="str">
            <v>CENTRO DE ACTIVIDAD NO EXISTE!!!</v>
          </cell>
        </row>
        <row r="201">
          <cell r="B201" t="str">
            <v>ÁREA GESTIÓN BOLSA ENERGÍA</v>
          </cell>
        </row>
        <row r="202">
          <cell r="B202" t="str">
            <v>CENTRO DE ACTIVIDAD NO EXISTE!!!</v>
          </cell>
        </row>
        <row r="203">
          <cell r="B203" t="str">
            <v>ÁREA PROYECTO PORCE II</v>
          </cell>
        </row>
        <row r="204">
          <cell r="B204" t="str">
            <v>CENTRO DE ACTIVIDAD NO EXISTE!!!</v>
          </cell>
        </row>
        <row r="205">
          <cell r="B205" t="str">
            <v>EQUIPOS PORCE II</v>
          </cell>
        </row>
        <row r="206">
          <cell r="B206" t="str">
            <v>CENTRO DE ACTIVIDAD NO EXISTE!!!</v>
          </cell>
        </row>
        <row r="207">
          <cell r="B207" t="str">
            <v>OBRAS CIVILES PORCE II</v>
          </cell>
        </row>
        <row r="208">
          <cell r="B208" t="str">
            <v>CENTRO DE ACTIVIDAD NO EXISTE!!!</v>
          </cell>
        </row>
        <row r="209">
          <cell r="B209" t="str">
            <v>SERVICIOS GENERALES PORCE II</v>
          </cell>
        </row>
        <row r="210">
          <cell r="B210" t="str">
            <v>CENTRO DE ACTIVIDAD NO EXISTE!!!</v>
          </cell>
        </row>
        <row r="211">
          <cell r="B211" t="str">
            <v>GESTIÓN AMBIENTAL PORCE II</v>
          </cell>
        </row>
        <row r="212">
          <cell r="B212" t="str">
            <v>CENTRO DE ACTIVIDAD NO EXISTE!!!</v>
          </cell>
        </row>
        <row r="213">
          <cell r="B213" t="str">
            <v>SUBGERENCIA DE PROYECTOS</v>
          </cell>
        </row>
        <row r="214">
          <cell r="B214" t="str">
            <v>CENTRO DE ACTIVIDAD NO EXISTE!!!</v>
          </cell>
        </row>
        <row r="215">
          <cell r="B215" t="str">
            <v>ÁREA PROYECTOS</v>
          </cell>
        </row>
        <row r="216">
          <cell r="B216" t="str">
            <v>MINICENTRALES DE GENERACIÓN</v>
          </cell>
        </row>
        <row r="217">
          <cell r="B217" t="str">
            <v>CICLO COMBINADO LA SIERRA</v>
          </cell>
        </row>
        <row r="218">
          <cell r="B218" t="str">
            <v>CENTRO DE ACTIVIDAD NO EXISTE!!!</v>
          </cell>
        </row>
        <row r="219">
          <cell r="B219" t="str">
            <v>ÁREA PROGRAMACIÓN Y CONTROL</v>
          </cell>
        </row>
        <row r="220">
          <cell r="B220" t="str">
            <v>CENTRO DE ACTIVIDAD NO EXISTE!!!</v>
          </cell>
        </row>
        <row r="221">
          <cell r="B221" t="str">
            <v>SUBGERENCIA OPERACIÓN GENERACIÓN</v>
          </cell>
        </row>
        <row r="222">
          <cell r="B222" t="str">
            <v>CENTRO DE ACTIVIDAD NO EXISTE!!!</v>
          </cell>
        </row>
        <row r="223">
          <cell r="B223" t="str">
            <v>CENTRO DE CONTROL GENERACIÓN</v>
          </cell>
        </row>
        <row r="224">
          <cell r="B224" t="str">
            <v>CENTRO DE ACTIVIDAD NO EXISTE!!!</v>
          </cell>
        </row>
        <row r="225">
          <cell r="B225" t="str">
            <v>ÁREA METROPOLITANA</v>
          </cell>
        </row>
        <row r="226">
          <cell r="B226" t="str">
            <v>OPERACIÓN ÁREA METROPOLITANA</v>
          </cell>
        </row>
        <row r="227">
          <cell r="B227" t="str">
            <v>CENTRO DE ACTIVIDAD NO EXISTE!!!</v>
          </cell>
        </row>
        <row r="228">
          <cell r="B228" t="str">
            <v>MANTENIMIENTO ÁREA METROPOLITANA</v>
          </cell>
        </row>
        <row r="229">
          <cell r="B229" t="str">
            <v>CENTRO DE ACTIVIDAD NO EXISTE!!!</v>
          </cell>
        </row>
        <row r="230">
          <cell r="B230" t="str">
            <v>SERVICIOS DE APOYO ÁREA METROPOLITANA</v>
          </cell>
        </row>
        <row r="231">
          <cell r="B231" t="str">
            <v>CENTRO DE ACTIVIDAD NO EXISTE!!!</v>
          </cell>
        </row>
        <row r="232">
          <cell r="B232" t="str">
            <v>ÁREA GUATAPÉ</v>
          </cell>
        </row>
        <row r="233">
          <cell r="B233" t="str">
            <v>OPERACION GUATAPÉ</v>
          </cell>
        </row>
        <row r="234">
          <cell r="B234" t="str">
            <v>CENTRO DE ACTIVIDAD NO EXISTE!!!</v>
          </cell>
        </row>
        <row r="235">
          <cell r="B235" t="str">
            <v>SERVICIOS DE APOYO GUATAPÉ</v>
          </cell>
        </row>
        <row r="236">
          <cell r="B236" t="str">
            <v>CENTRO DE ACTIVIDAD NO EXISTE!!!</v>
          </cell>
        </row>
        <row r="237">
          <cell r="B237" t="str">
            <v>MANTENIMIENTO ÁREA GUATAPÉ</v>
          </cell>
        </row>
        <row r="238">
          <cell r="B238" t="str">
            <v>CENTRO DE ACTIVIDAD NO EXISTE!!!</v>
          </cell>
        </row>
        <row r="239">
          <cell r="B239" t="str">
            <v>ÁREA INGENIERÍA</v>
          </cell>
        </row>
        <row r="240">
          <cell r="B240" t="str">
            <v>CENTRO DE ACTIVIDAD NO EXISTE!!!</v>
          </cell>
        </row>
        <row r="241">
          <cell r="B241" t="str">
            <v>CONTRATACIONES</v>
          </cell>
        </row>
        <row r="242">
          <cell r="B242" t="str">
            <v>CENTRO DE ACTIVIDAD NO EXISTE!!!</v>
          </cell>
        </row>
        <row r="243">
          <cell r="B243" t="str">
            <v>ADMINISTRACIÓN DEL MANTTO</v>
          </cell>
        </row>
        <row r="244">
          <cell r="B244" t="str">
            <v>CENTRO DE ACTIVIDAD NO EXISTE!!!</v>
          </cell>
        </row>
        <row r="245">
          <cell r="B245" t="str">
            <v>ANÁLISIS TÉCNICO</v>
          </cell>
        </row>
        <row r="246">
          <cell r="B246" t="str">
            <v>CENTRO DE ACTIVIDAD NO EXISTE!!!</v>
          </cell>
        </row>
        <row r="247">
          <cell r="B247" t="str">
            <v>PROYECTOS ESPECIALES</v>
          </cell>
        </row>
        <row r="248">
          <cell r="B248" t="str">
            <v>CENTRO DE ACTIVIDAD NO EXISTE!!!</v>
          </cell>
        </row>
        <row r="249">
          <cell r="B249" t="str">
            <v>CENTRAL TASAJERA</v>
          </cell>
        </row>
        <row r="250">
          <cell r="B250" t="str">
            <v>CENTRAL RIOGRANDE I</v>
          </cell>
        </row>
        <row r="251">
          <cell r="B251" t="str">
            <v>CENTRAL NIQUIA</v>
          </cell>
        </row>
        <row r="252">
          <cell r="B252" t="str">
            <v>CENTRO DE ACTIVIDAD NO EXISTE!!!</v>
          </cell>
        </row>
        <row r="253">
          <cell r="B253" t="str">
            <v>CENTRAL GUATAPÉ</v>
          </cell>
        </row>
        <row r="254">
          <cell r="B254" t="str">
            <v>CENTRAL PLAYAS</v>
          </cell>
        </row>
        <row r="255">
          <cell r="B255" t="str">
            <v>CENTRO DE ACTIVIDAD NO EXISTE!!!</v>
          </cell>
        </row>
        <row r="256">
          <cell r="B256" t="str">
            <v>TRONERAS</v>
          </cell>
        </row>
        <row r="257">
          <cell r="B257" t="str">
            <v>GUADALUPE III</v>
          </cell>
        </row>
        <row r="258">
          <cell r="B258" t="str">
            <v>GUADALUPE IV</v>
          </cell>
        </row>
        <row r="259">
          <cell r="B259" t="str">
            <v>MINICENTRALES PAJARITO Y DOLORES</v>
          </cell>
        </row>
        <row r="260">
          <cell r="B260" t="str">
            <v>PORCE II FUTURO</v>
          </cell>
        </row>
        <row r="261">
          <cell r="B261" t="str">
            <v>CENTRO DE ACTIVIDAD NO EXISTE!!!</v>
          </cell>
        </row>
        <row r="262">
          <cell r="B262" t="str">
            <v>ÁREA GUADALUPE</v>
          </cell>
        </row>
        <row r="263">
          <cell r="B263" t="str">
            <v>OPERACION ÁREA GUADALUPE</v>
          </cell>
        </row>
        <row r="264">
          <cell r="B264" t="str">
            <v>MANTENIMIENTO ÁREA GUADALUPE</v>
          </cell>
        </row>
        <row r="265">
          <cell r="B265" t="str">
            <v>SERVICIOS DE APOYO ÁREA GUADALUPE</v>
          </cell>
        </row>
        <row r="266">
          <cell r="B266" t="str">
            <v>CENTRO DE ACTIVIDAD NO EXISTE!!!</v>
          </cell>
        </row>
        <row r="267">
          <cell r="B267" t="str">
            <v>ÁREA LA SIERRA</v>
          </cell>
        </row>
        <row r="268">
          <cell r="B268" t="str">
            <v>CENTRO DE ACTIVIDAD NO EXISTE!!!</v>
          </cell>
        </row>
        <row r="269">
          <cell r="B269" t="str">
            <v>SUBGERENCIA AMBIENTAL</v>
          </cell>
        </row>
        <row r="270">
          <cell r="B270" t="str">
            <v>COORDINACIÓN AMBIENTAL</v>
          </cell>
        </row>
        <row r="271">
          <cell r="B271" t="str">
            <v>CENTRO DE ACTIVIDAD NO EXISTE!!!</v>
          </cell>
        </row>
        <row r="272">
          <cell r="B272" t="str">
            <v>GESTIÓN SOCIAL PORCE II</v>
          </cell>
        </row>
        <row r="273">
          <cell r="B273" t="str">
            <v>CENTRO DE ACTIVIDAD NO EXISTE!!!</v>
          </cell>
        </row>
        <row r="274">
          <cell r="B274" t="str">
            <v>ÁREA HIDROMETRIA E INSTRUMENTACIÓN</v>
          </cell>
        </row>
        <row r="275">
          <cell r="B275" t="str">
            <v>CENTRO DE ACTIVIDAD NO EXISTE!!!</v>
          </cell>
        </row>
        <row r="276">
          <cell r="B276" t="str">
            <v>INVERSIÓN HIDROMETRIA INSTRUM.</v>
          </cell>
        </row>
        <row r="277">
          <cell r="B277" t="str">
            <v>CENTRO DE ACTIVIDAD NO EXISTE!!!</v>
          </cell>
        </row>
        <row r="278">
          <cell r="B278" t="str">
            <v>ÁREA DE GESTIÓN AMBIENTAL</v>
          </cell>
        </row>
        <row r="279">
          <cell r="B279" t="str">
            <v>INVERSIONES AMBIENTALES</v>
          </cell>
        </row>
        <row r="280">
          <cell r="B280" t="str">
            <v>CENTRO DE ACTIVIDAD NO EXISTE!!!</v>
          </cell>
        </row>
        <row r="281">
          <cell r="B281" t="str">
            <v>ANTICIPOS OTROS PROGRAMAS DE GENERACION</v>
          </cell>
        </row>
        <row r="282">
          <cell r="B282" t="str">
            <v>CENTRO DE ACTIVIDAD NO EXISTE!!!</v>
          </cell>
        </row>
        <row r="283">
          <cell r="B283" t="str">
            <v>DEPTO MERCADEO</v>
          </cell>
        </row>
        <row r="284">
          <cell r="B284" t="str">
            <v>CENTRO DE ACTIVIDAD NO EXISTE!!!</v>
          </cell>
        </row>
        <row r="285">
          <cell r="B285" t="str">
            <v>SUBGERENCIA DE ADMON Y FINANZAS</v>
          </cell>
        </row>
        <row r="286">
          <cell r="B286" t="str">
            <v>CENTRO DE ACTIVIDAD NO EXISTE!!!</v>
          </cell>
        </row>
        <row r="287">
          <cell r="B287" t="str">
            <v>ÁREA DE FINANZAS GENERACIÓN</v>
          </cell>
        </row>
        <row r="288">
          <cell r="B288" t="str">
            <v>CENTRO DE ACTIVIDAD NO EXISTE!!!</v>
          </cell>
        </row>
        <row r="289">
          <cell r="B289" t="str">
            <v>ÁREA GESTIÓN ORGANIZACIONAL GENERACIÓN</v>
          </cell>
        </row>
        <row r="290">
          <cell r="B290" t="str">
            <v>CAPACITACIÓN GENERACIÓN ENERGÍA</v>
          </cell>
        </row>
        <row r="291">
          <cell r="B291" t="str">
            <v>CENTRO DE ACTIVIDAD NO EXISTE!!!</v>
          </cell>
        </row>
        <row r="292">
          <cell r="B292" t="str">
            <v>ÁREA DE INFORMÁTICA GENERACIÓN</v>
          </cell>
        </row>
        <row r="293">
          <cell r="B293" t="str">
            <v>CENTRO DE ACTIVIDAD NO EXISTE!!!</v>
          </cell>
        </row>
        <row r="294">
          <cell r="B294" t="str">
            <v>GERENCIA DE TELECOMUNICACIONES</v>
          </cell>
        </row>
        <row r="295">
          <cell r="B295" t="str">
            <v>GRUPO PROYECTOS TELECOMUNICACIONES</v>
          </cell>
        </row>
        <row r="296">
          <cell r="B296" t="str">
            <v>PROYECTO BOGOTA</v>
          </cell>
        </row>
        <row r="297">
          <cell r="B297" t="str">
            <v>CENTRO DE ACTIVIDAD NO EXISTE!!!</v>
          </cell>
        </row>
        <row r="298">
          <cell r="B298" t="str">
            <v>PLANEACION TELECOMUNICACIONES</v>
          </cell>
        </row>
        <row r="299">
          <cell r="B299" t="str">
            <v>SUBGERENCIA NUEVOS NEGOCIOS TELECOMUNICACIONES</v>
          </cell>
        </row>
        <row r="300">
          <cell r="B300" t="str">
            <v>CENTRO DE ACTIVIDAD NO EXISTE!!!</v>
          </cell>
        </row>
        <row r="301">
          <cell r="B301" t="str">
            <v>UNIDAD CAPACITACION TELECOMUNICACIONES</v>
          </cell>
        </row>
        <row r="302">
          <cell r="B302" t="str">
            <v>CULTURA DEL SERVICIO</v>
          </cell>
        </row>
        <row r="303">
          <cell r="B303" t="str">
            <v>CENTRO DE ACTIVIDAD NO EXISTE!!!</v>
          </cell>
        </row>
        <row r="304">
          <cell r="B304" t="str">
            <v>ESTUDIOS PARA DIF. PLAN MERCADEO</v>
          </cell>
        </row>
        <row r="305">
          <cell r="B305" t="str">
            <v>ESTUDIO VR AGREGADO TELEMATICA</v>
          </cell>
        </row>
        <row r="306">
          <cell r="B306" t="str">
            <v>ESTUDIO PROYECTO SATELITAL SIMON BOLIVAR</v>
          </cell>
        </row>
        <row r="307">
          <cell r="B307" t="str">
            <v>TELEFONIA OTRAS CIUDADES</v>
          </cell>
        </row>
        <row r="308">
          <cell r="B308" t="str">
            <v>VALORACION EMPRESA TELS. BUCARAMANGA</v>
          </cell>
        </row>
        <row r="309">
          <cell r="B309" t="str">
            <v>CENTRO DE ACTIVIDAD NO EXISTE!!!</v>
          </cell>
        </row>
        <row r="310">
          <cell r="B310" t="str">
            <v>SECCION CLIENTES</v>
          </cell>
        </row>
        <row r="311">
          <cell r="B311" t="str">
            <v>CENTRO DE ACTIVIDAD NO EXISTE!!!</v>
          </cell>
        </row>
        <row r="312">
          <cell r="B312" t="str">
            <v>SUBGERENCIA OPERATIVA TELECOMUNICACIONES</v>
          </cell>
        </row>
        <row r="313">
          <cell r="B313" t="str">
            <v>GESTIÓN DAÑOS</v>
          </cell>
        </row>
        <row r="314">
          <cell r="B314" t="str">
            <v>CENTRO DE ACTIVIDAD NO EXISTE!!!</v>
          </cell>
        </row>
        <row r="315">
          <cell r="B315" t="str">
            <v>ÁREA TELÉFONOS PÚBLICOS</v>
          </cell>
        </row>
        <row r="316">
          <cell r="B316" t="str">
            <v>LABORATORIO</v>
          </cell>
        </row>
        <row r="317">
          <cell r="B317" t="str">
            <v>GESTIÓN</v>
          </cell>
        </row>
        <row r="318">
          <cell r="B318" t="str">
            <v>CENTRO DE ACTIVIDAD NO EXISTE!!!</v>
          </cell>
        </row>
        <row r="319">
          <cell r="B319" t="str">
            <v>ÁREA RED DE DATOS</v>
          </cell>
        </row>
        <row r="320">
          <cell r="B320" t="str">
            <v>GESTIÓN DATOS</v>
          </cell>
        </row>
        <row r="321">
          <cell r="B321" t="str">
            <v>MULTINET</v>
          </cell>
        </row>
        <row r="322">
          <cell r="B322" t="str">
            <v>CENTRO DE ACTIVIDAD NO EXISTE!!!</v>
          </cell>
        </row>
        <row r="323">
          <cell r="B323" t="str">
            <v>ÁREA OPERATIVA ORIENTE</v>
          </cell>
        </row>
        <row r="324">
          <cell r="B324" t="str">
            <v>ACCESO</v>
          </cell>
        </row>
        <row r="325">
          <cell r="B325" t="str">
            <v>NODOS E INTERCONEXIÓN</v>
          </cell>
        </row>
        <row r="326">
          <cell r="B326" t="str">
            <v>PROYECTOS ESPECIALES</v>
          </cell>
        </row>
        <row r="327">
          <cell r="B327" t="str">
            <v>CENTRO DE ACTIVIDAD NO EXISTE!!!</v>
          </cell>
        </row>
        <row r="328">
          <cell r="B328" t="str">
            <v>ÁREA OPERATIVA NORTE</v>
          </cell>
        </row>
        <row r="329">
          <cell r="B329" t="str">
            <v>ACCESO SUBZONA 1</v>
          </cell>
        </row>
        <row r="330">
          <cell r="B330" t="str">
            <v>ACCESO SUBZONA 2</v>
          </cell>
        </row>
        <row r="331">
          <cell r="B331" t="str">
            <v>ACCESO SUBZONA 3</v>
          </cell>
        </row>
        <row r="332">
          <cell r="B332" t="str">
            <v xml:space="preserve">NODOS </v>
          </cell>
        </row>
        <row r="333">
          <cell r="B333" t="str">
            <v>CENTRO DE ACTIVIDAD NO EXISTE!!!</v>
          </cell>
        </row>
        <row r="334">
          <cell r="B334" t="str">
            <v>ÁREA OPERATIVA SUR</v>
          </cell>
        </row>
        <row r="335">
          <cell r="B335" t="str">
            <v>ACCESO SUBZONA 1</v>
          </cell>
        </row>
        <row r="336">
          <cell r="B336" t="str">
            <v>ACCESO SUBZONA 2</v>
          </cell>
        </row>
        <row r="337">
          <cell r="B337" t="str">
            <v>NODOS</v>
          </cell>
        </row>
        <row r="338">
          <cell r="B338" t="str">
            <v>CENTRO DE ACTIVIDAD NO EXISTE!!!</v>
          </cell>
        </row>
        <row r="339">
          <cell r="B339" t="str">
            <v>ÁREA SOPORTE OPERATIVO</v>
          </cell>
        </row>
        <row r="340">
          <cell r="B340" t="str">
            <v>INTERCONEXIÓN</v>
          </cell>
        </row>
        <row r="341">
          <cell r="B341" t="str">
            <v>CENTRO DE ACTIVIDAD NO EXISTE!!!</v>
          </cell>
        </row>
        <row r="342">
          <cell r="B342" t="str">
            <v>BUSCAPERSONAS</v>
          </cell>
        </row>
        <row r="343">
          <cell r="B343" t="str">
            <v>TRUNKING</v>
          </cell>
        </row>
        <row r="344">
          <cell r="B344" t="str">
            <v>INALAMBRICOS</v>
          </cell>
        </row>
        <row r="345">
          <cell r="B345" t="str">
            <v>AIRE ACONDICIONADO</v>
          </cell>
        </row>
        <row r="346">
          <cell r="B346" t="str">
            <v>ENERGÍA</v>
          </cell>
        </row>
        <row r="347">
          <cell r="B347" t="str">
            <v>CENTRO DE ACTIVIDAD NO EXISTE!!!</v>
          </cell>
        </row>
        <row r="348">
          <cell r="B348" t="str">
            <v>SUBGERENCIA TÉCNICA TELECOMUNICACIONES</v>
          </cell>
        </row>
        <row r="349">
          <cell r="B349" t="str">
            <v>NORMAS Y HOMOLOGACIÓN</v>
          </cell>
        </row>
        <row r="350">
          <cell r="B350" t="str">
            <v>CENTRO DE ACTIVIDAD NO EXISTE!!!</v>
          </cell>
        </row>
        <row r="351">
          <cell r="B351" t="str">
            <v>ÁREA INGENIERÍA DE PRODUCTOS</v>
          </cell>
        </row>
        <row r="352">
          <cell r="B352" t="str">
            <v>CENTRO DE ACTIVIDAD NO EXISTE!!!</v>
          </cell>
        </row>
        <row r="353">
          <cell r="B353" t="str">
            <v>PLATAFORMAS NAP OPERACIÓN</v>
          </cell>
        </row>
        <row r="354">
          <cell r="B354" t="str">
            <v>INTERNET DESARROLLO</v>
          </cell>
        </row>
        <row r="355">
          <cell r="B355" t="str">
            <v>INTERNET OPERACIÓN</v>
          </cell>
        </row>
        <row r="356">
          <cell r="B356" t="str">
            <v>RED INTELIGENTE DESARROLLO</v>
          </cell>
        </row>
        <row r="357">
          <cell r="B357" t="str">
            <v>RED INTELIGENTE OPERACIÓN</v>
          </cell>
        </row>
        <row r="358">
          <cell r="B358" t="str">
            <v>CENTRO DE ACTIVIDAD NO EXISTE!!!</v>
          </cell>
        </row>
        <row r="359">
          <cell r="B359" t="str">
            <v>ÁREA INGENIERÍA NODOS E INTERCONEXIÓN</v>
          </cell>
        </row>
        <row r="360">
          <cell r="B360" t="str">
            <v>INTERCONEXIÓN</v>
          </cell>
        </row>
        <row r="361">
          <cell r="B361" t="str">
            <v>NODOS</v>
          </cell>
        </row>
        <row r="362">
          <cell r="B362" t="str">
            <v>CENTRO DE ACTIVIDAD NO EXISTE!!!</v>
          </cell>
        </row>
        <row r="363">
          <cell r="B363" t="str">
            <v>ÁREA ASIGNACIONES</v>
          </cell>
        </row>
        <row r="364">
          <cell r="B364" t="str">
            <v>CENTRO DE ACTIVIDAD NO EXISTE!!!</v>
          </cell>
        </row>
        <row r="365">
          <cell r="B365" t="str">
            <v>ÁREA PROYECTOS ESPECIALES</v>
          </cell>
        </row>
        <row r="366">
          <cell r="B366" t="str">
            <v>ENTIDADES OFICIALES</v>
          </cell>
        </row>
        <row r="367">
          <cell r="B367" t="str">
            <v>EDIFICIOS Y URBANIZACIONES</v>
          </cell>
        </row>
        <row r="368">
          <cell r="B368" t="str">
            <v>CENTRO DE ACTIVIDAD NO EXISTE!!!</v>
          </cell>
        </row>
        <row r="369">
          <cell r="B369" t="str">
            <v>ÁREA CONTRATACIONES</v>
          </cell>
        </row>
        <row r="370">
          <cell r="B370" t="str">
            <v>CENTRO DE ACTIVIDAD NO EXISTE!!!</v>
          </cell>
        </row>
        <row r="371">
          <cell r="B371" t="str">
            <v>ÁREA INGENIERÍA ACCESO</v>
          </cell>
        </row>
        <row r="372">
          <cell r="B372" t="str">
            <v>RED ZONA 1</v>
          </cell>
        </row>
        <row r="373">
          <cell r="B373" t="str">
            <v>RED ZONA 2</v>
          </cell>
        </row>
        <row r="374">
          <cell r="B374" t="str">
            <v>BANDA ANCHA DESARROLLO</v>
          </cell>
        </row>
        <row r="375">
          <cell r="B375" t="str">
            <v>BANDA ANCHA OPERACIÓN</v>
          </cell>
        </row>
        <row r="376">
          <cell r="B376" t="str">
            <v>CENTRO DE ACTIVIDAD NO EXISTE!!!</v>
          </cell>
        </row>
        <row r="377">
          <cell r="B377" t="str">
            <v>SUBGERENCIA ADMON Y FINANZAS TELECOMUNICACIONES</v>
          </cell>
        </row>
        <row r="378">
          <cell r="B378" t="str">
            <v>CENTRO DE ACTIVIDAD NO EXISTE!!!</v>
          </cell>
        </row>
        <row r="379">
          <cell r="B379" t="str">
            <v>ÁREA FINANZAS TELECOMUNICACIONES</v>
          </cell>
        </row>
        <row r="380">
          <cell r="B380" t="str">
            <v>CENTRO DE ACTIVIDAD NO EXISTE!!!</v>
          </cell>
        </row>
        <row r="381">
          <cell r="B381" t="str">
            <v>ÁREA GESTIÓN ORGANIZACIONAL TELECOMUNIC.</v>
          </cell>
        </row>
        <row r="382">
          <cell r="B382" t="str">
            <v>GESTIÓN HUMANA TELECOMUNICACIONES</v>
          </cell>
        </row>
        <row r="383">
          <cell r="B383" t="str">
            <v>CENTRO DE ACTIVIDAD NO EXISTE!!!</v>
          </cell>
        </row>
        <row r="384">
          <cell r="B384" t="str">
            <v>ÁREA INFORMÁTICA TELECOMUNICACIONES</v>
          </cell>
        </row>
        <row r="385">
          <cell r="B385" t="str">
            <v>CENTRO DE ACTIVIDAD NO EXISTE!!!</v>
          </cell>
        </row>
        <row r="386">
          <cell r="B386" t="str">
            <v>GASTOS GENERALES DE OPERACION</v>
          </cell>
        </row>
        <row r="387">
          <cell r="B387" t="str">
            <v>GERENCIA DE FINANZAS</v>
          </cell>
        </row>
        <row r="388">
          <cell r="B388" t="str">
            <v>CENTRO DE ACTIVIDAD NO EXISTE!!!</v>
          </cell>
        </row>
        <row r="389">
          <cell r="B389" t="str">
            <v>SISTEMA DE INFORMAC FINANCIERA</v>
          </cell>
        </row>
        <row r="390">
          <cell r="B390" t="str">
            <v>CENTRO DE ACTIVIDAD NO EXISTE!!!</v>
          </cell>
        </row>
        <row r="391">
          <cell r="B391" t="str">
            <v>SUBGERENCIA FINANZAS CORPORATIVAS</v>
          </cell>
        </row>
        <row r="392">
          <cell r="B392" t="str">
            <v>CENTRO DE ACTIVIDAD NO EXISTE!!!</v>
          </cell>
        </row>
        <row r="393">
          <cell r="B393" t="str">
            <v>ÁREA GESTIÓN FINANCIERA</v>
          </cell>
        </row>
        <row r="394">
          <cell r="B394" t="str">
            <v>CENTRO DE ACTIVIDAD NO EXISTE!!!</v>
          </cell>
        </row>
        <row r="395">
          <cell r="B395" t="str">
            <v>ÁREA PROGRAMACIÓN Y CONTROL PRESUPUESTAL</v>
          </cell>
        </row>
        <row r="396">
          <cell r="B396" t="str">
            <v>CENTRO DE ACTIVIDAD NO EXISTE!!!</v>
          </cell>
        </row>
        <row r="397">
          <cell r="B397" t="str">
            <v>SUBGERENCIA CONTADURÍA</v>
          </cell>
        </row>
        <row r="398">
          <cell r="B398" t="str">
            <v>CENTRO DE ACTIVIDAD NO EXISTE!!!</v>
          </cell>
        </row>
        <row r="399">
          <cell r="B399" t="str">
            <v>ÁREA DE PLANEACIÓN Y GESTIÓN TRIBUTARIA</v>
          </cell>
        </row>
        <row r="400">
          <cell r="B400" t="str">
            <v>CENTRO DE ACTIVIDAD NO EXISTE!!!</v>
          </cell>
        </row>
        <row r="401">
          <cell r="B401" t="str">
            <v>ÁREA CONTABILIDAD CORPORATIVA</v>
          </cell>
        </row>
        <row r="402">
          <cell r="B402" t="str">
            <v>CENTRO DE ACTIVIDAD NO EXISTE!!!</v>
          </cell>
        </row>
        <row r="403">
          <cell r="B403" t="str">
            <v>ÁREA CONTABILIDAD DE COSTOS</v>
          </cell>
        </row>
        <row r="404">
          <cell r="B404" t="str">
            <v>CENTRO DE ACTIVIDAD NO EXISTE!!!</v>
          </cell>
        </row>
        <row r="405">
          <cell r="B405" t="str">
            <v>SUBGERENCIA GESTIÓN DE CAPITALES</v>
          </cell>
        </row>
        <row r="406">
          <cell r="B406" t="str">
            <v>CENTRO DE ACTIVIDAD NO EXISTE!!!</v>
          </cell>
        </row>
        <row r="407">
          <cell r="B407" t="str">
            <v>ÁREA OPERACIONES FINANCIERAS</v>
          </cell>
        </row>
        <row r="408">
          <cell r="B408" t="str">
            <v>CENTRO DE ACTIVIDAD NO EXISTE!!!</v>
          </cell>
        </row>
        <row r="409">
          <cell r="B409" t="str">
            <v>ÁREA DE TESORERÍA</v>
          </cell>
        </row>
        <row r="410">
          <cell r="B410" t="str">
            <v>CENTRO DE ACTIVIDAD NO EXISTE!!!</v>
          </cell>
        </row>
        <row r="411">
          <cell r="B411" t="str">
            <v>ÁREA BANCA DE INVERSIÓN</v>
          </cell>
        </row>
        <row r="412">
          <cell r="B412" t="str">
            <v>CENTRO DE ACTIVIDAD NO EXISTE!!!</v>
          </cell>
        </row>
        <row r="413">
          <cell r="B413" t="str">
            <v>DIRECCIÓN  ADMINISTRATIVA</v>
          </cell>
        </row>
        <row r="414">
          <cell r="B414" t="str">
            <v>CENTRO DE ACTIVIDAD NO EXISTE!!!</v>
          </cell>
        </row>
        <row r="415">
          <cell r="B415" t="str">
            <v>DEPTO SEGURIDAD, VIGILANCIA Y CONTROL</v>
          </cell>
        </row>
        <row r="416">
          <cell r="B416" t="str">
            <v>CENTRO DE ACTIVIDAD NO EXISTE!!!</v>
          </cell>
        </row>
        <row r="417">
          <cell r="B417" t="str">
            <v>DEPTO DE BIENES INMUEBLES</v>
          </cell>
        </row>
        <row r="418">
          <cell r="B418" t="str">
            <v>CENTRO DE ACTIVIDAD NO EXISTE!!!</v>
          </cell>
        </row>
        <row r="419">
          <cell r="B419" t="str">
            <v>UNIDAD ADMON DE RIESGOS Y SEGUROS</v>
          </cell>
        </row>
        <row r="420">
          <cell r="B420" t="str">
            <v>COSTO PÓLIZAS DE SEGUROS</v>
          </cell>
        </row>
        <row r="421">
          <cell r="B421" t="str">
            <v>FONDO DE INVERSIÓN SEGUROS</v>
          </cell>
        </row>
        <row r="422">
          <cell r="B422" t="str">
            <v>CENTRO DE ACTIVIDAD NO EXISTE!!!</v>
          </cell>
        </row>
        <row r="423">
          <cell r="B423" t="str">
            <v>PROYECTO ABACO</v>
          </cell>
        </row>
        <row r="424">
          <cell r="B424" t="str">
            <v>P. U. C. Y AMBIENTAL</v>
          </cell>
        </row>
        <row r="425">
          <cell r="B425" t="str">
            <v>CENTRO DE ACTIVIDAD NO EXISTE!!!</v>
          </cell>
        </row>
        <row r="426">
          <cell r="B426" t="str">
            <v>UNIDAD EDIFICIOS</v>
          </cell>
        </row>
        <row r="427">
          <cell r="B427" t="str">
            <v>DEPTO ADMINISTRACION EDIFICIOS</v>
          </cell>
        </row>
        <row r="428">
          <cell r="B428" t="str">
            <v>DEPTO. CONSTRUCCION Y ADMON. EDIFICIOS</v>
          </cell>
        </row>
        <row r="429">
          <cell r="B429" t="str">
            <v>CENTRO DE ACTIVIDAD NO EXISTE!!!</v>
          </cell>
        </row>
        <row r="430">
          <cell r="B430" t="str">
            <v>UNIDAD DE COMPRAS</v>
          </cell>
        </row>
        <row r="431">
          <cell r="B431" t="str">
            <v>EQUIPO DE LOGISTICA INTERNACIONAL</v>
          </cell>
        </row>
        <row r="432">
          <cell r="B432" t="str">
            <v>EQUIPO DE COMPRAS NACIONALES</v>
          </cell>
        </row>
        <row r="433">
          <cell r="B433" t="str">
            <v>CENTRO DE ACTIVIDAD NO EXISTE!!!</v>
          </cell>
        </row>
        <row r="434">
          <cell r="B434" t="str">
            <v>UNIDAD ALMACENES Y SERVICIOS GENERALES</v>
          </cell>
        </row>
        <row r="435">
          <cell r="B435" t="str">
            <v>DEPTO ALMACENES</v>
          </cell>
        </row>
        <row r="436">
          <cell r="B436" t="str">
            <v>ALMACENES CENTRALES</v>
          </cell>
        </row>
        <row r="437">
          <cell r="B437" t="str">
            <v>PROVEEDURÍA CENTRALES</v>
          </cell>
        </row>
        <row r="438">
          <cell r="B438" t="str">
            <v>PROVEEDURÍA MEDELLIN</v>
          </cell>
        </row>
        <row r="439">
          <cell r="B439" t="str">
            <v>DEPTO TRANSPORTE Y TALLERES</v>
          </cell>
        </row>
        <row r="440">
          <cell r="B440" t="str">
            <v>CENTRO DE ACTIVIDAD NO EXISTE!!!</v>
          </cell>
        </row>
        <row r="441">
          <cell r="B441" t="str">
            <v>DEPTO ADMINISTRACIÓN DOCUMENTAL</v>
          </cell>
        </row>
        <row r="442">
          <cell r="B442" t="str">
            <v>CENTRO DE ACTIVIDAD NO EXISTE!!!</v>
          </cell>
        </row>
        <row r="443">
          <cell r="B443" t="str">
            <v>ASISTENCIA TÉCNICA E INVESTIGACIÓN CALIDAD</v>
          </cell>
        </row>
        <row r="444">
          <cell r="B444" t="str">
            <v>CENTRO DE ACTIVIDAD NO EXISTE!!!</v>
          </cell>
        </row>
        <row r="445">
          <cell r="B445" t="str">
            <v>DIRECCIÓN DE GESTION HUMANA</v>
          </cell>
        </row>
        <row r="446">
          <cell r="B446" t="str">
            <v>CENTRO DE ACTIVIDAD NO EXISTE!!!</v>
          </cell>
        </row>
        <row r="447">
          <cell r="B447" t="str">
            <v>UNIDAD DE RELACIONES LABORALES</v>
          </cell>
        </row>
        <row r="448">
          <cell r="B448" t="str">
            <v>CENTRO DE ACTIVIDAD NO EXISTE!!!</v>
          </cell>
        </row>
        <row r="449">
          <cell r="B449" t="str">
            <v>DEPTO NÓMINA Y SEGURIDAD SOCIAL</v>
          </cell>
        </row>
        <row r="450">
          <cell r="B450" t="str">
            <v>CENTRO DE ACTIVIDAD NO EXISTE!!!</v>
          </cell>
        </row>
        <row r="451">
          <cell r="B451" t="str">
            <v>DEPTO PROCESO DISCIPLINARIOS Y LEGALES</v>
          </cell>
        </row>
        <row r="452">
          <cell r="B452" t="str">
            <v>CENTRO DE ACTIVIDAD NO EXISTE!!!</v>
          </cell>
        </row>
        <row r="453">
          <cell r="B453" t="str">
            <v>UNIDAD SERVICIOS AL PERSONAL</v>
          </cell>
        </row>
        <row r="454">
          <cell r="B454" t="str">
            <v>CENTRO DE ACTIVIDAD NO EXISTE!!!</v>
          </cell>
        </row>
        <row r="455">
          <cell r="B455" t="str">
            <v>DEPTO DE BIENESTAR LABORAL</v>
          </cell>
        </row>
        <row r="456">
          <cell r="B456" t="str">
            <v>DEPORTES</v>
          </cell>
        </row>
        <row r="457">
          <cell r="B457" t="str">
            <v>PROGRAMAS ESPECIALES</v>
          </cell>
        </row>
        <row r="458">
          <cell r="B458" t="str">
            <v>CENTRO DE ACTIVIDAD NO EXISTE!!!</v>
          </cell>
        </row>
        <row r="459">
          <cell r="B459" t="str">
            <v>DEPARTAMENTO DE SERVICIO MEDICO/ODONTOLOGICO</v>
          </cell>
        </row>
        <row r="460">
          <cell r="B460" t="str">
            <v>GRUPO SERVICIOS ODONTOLOGICOS</v>
          </cell>
        </row>
        <row r="461">
          <cell r="B461" t="str">
            <v>GRUPO SERV MEDICOS GUADALUPE</v>
          </cell>
        </row>
        <row r="462">
          <cell r="B462" t="str">
            <v>GRUPO SERV MEDICOS GUATAPÉ</v>
          </cell>
        </row>
        <row r="463">
          <cell r="B463" t="str">
            <v>GRUPO SERV MEDICOS PLAYAS</v>
          </cell>
        </row>
        <row r="464">
          <cell r="B464" t="str">
            <v>GRUPO SERV MEDICOS PORCE II</v>
          </cell>
        </row>
        <row r="465">
          <cell r="B465" t="str">
            <v>LEY 100  DEPTO MEDICO</v>
          </cell>
        </row>
        <row r="466">
          <cell r="B466" t="str">
            <v>CENTRO DE ACTIVIDAD NO EXISTE!!!</v>
          </cell>
        </row>
        <row r="467">
          <cell r="B467" t="str">
            <v>DEPTO SALUD OCUPACIONAL</v>
          </cell>
        </row>
        <row r="468">
          <cell r="B468" t="str">
            <v>CENTRO DE ACTIVIDAD NO EXISTE!!!</v>
          </cell>
        </row>
        <row r="469">
          <cell r="B469" t="str">
            <v>UNIDAD DESARROLLO RECURSO HUMANO</v>
          </cell>
        </row>
        <row r="470">
          <cell r="B470" t="str">
            <v>DEPTO PLANEACIÓN DE RECURSOS HUMANOS</v>
          </cell>
        </row>
        <row r="471">
          <cell r="B471" t="str">
            <v>DEPTO DE SELECCIÓN</v>
          </cell>
        </row>
        <row r="472">
          <cell r="B472" t="str">
            <v>DEPTO DESARROLLO HUMANO</v>
          </cell>
        </row>
        <row r="473">
          <cell r="B473" t="str">
            <v>DEPTO DE CAPACITACIÓN Y DESARROLLO</v>
          </cell>
        </row>
        <row r="474">
          <cell r="B474" t="str">
            <v>BIBLIOTECA Y CENTRO DE APRENDIZAJE</v>
          </cell>
        </row>
        <row r="475">
          <cell r="B475" t="str">
            <v>APRENDICES SENA</v>
          </cell>
        </row>
        <row r="476">
          <cell r="B476" t="str">
            <v>CENTRO DE ACTIVIDAD NO EXISTE!!!</v>
          </cell>
        </row>
        <row r="477">
          <cell r="B477" t="str">
            <v>EQUIPOS VIA RADIO RURAL INDIVIDUAL</v>
          </cell>
        </row>
        <row r="478">
          <cell r="B478" t="str">
            <v>BUSCAPERSONAS</v>
          </cell>
        </row>
        <row r="479">
          <cell r="B479" t="str">
            <v>EQUIPOS ABONADO FIJO</v>
          </cell>
        </row>
        <row r="480">
          <cell r="B480" t="str">
            <v>EQUIPOS MOVIL TRANSPORTABLE</v>
          </cell>
        </row>
        <row r="481">
          <cell r="B481" t="str">
            <v>EQUIPOS ABONADO MOVIL</v>
          </cell>
        </row>
        <row r="482">
          <cell r="B482" t="str">
            <v>EQUIPOS ABONADO PORTATIL</v>
          </cell>
        </row>
        <row r="483">
          <cell r="B483" t="str">
            <v>EQUIPOS CARGADOR MULTIPLE</v>
          </cell>
        </row>
        <row r="484">
          <cell r="B484" t="str">
            <v>EQUIPOS CARGADOR INDIVIDUAL</v>
          </cell>
        </row>
        <row r="485">
          <cell r="B485" t="str">
            <v>CENTRO DE ACTIVIDAD NO EXISTE!!!</v>
          </cell>
        </row>
        <row r="486">
          <cell r="B486" t="str">
            <v>HERRAMIENTAS</v>
          </cell>
        </row>
        <row r="487">
          <cell r="B487" t="str">
            <v>MUEBLES Y EQUIPOS OFICINA</v>
          </cell>
        </row>
        <row r="488">
          <cell r="B488" t="str">
            <v>EQUIPOS INFORMÁTICA</v>
          </cell>
        </row>
        <row r="489">
          <cell r="B489" t="str">
            <v>EQUPOS MANTENIMIENTO</v>
          </cell>
        </row>
        <row r="490">
          <cell r="B490" t="str">
            <v>OTROS ACTIVOS</v>
          </cell>
        </row>
        <row r="491">
          <cell r="B491" t="str">
            <v>EDIFICIO EPM</v>
          </cell>
        </row>
        <row r="492">
          <cell r="B492" t="str">
            <v>CENTRO DE ACTIVIDAD NO EXISTE!!!</v>
          </cell>
        </row>
        <row r="493">
          <cell r="B493" t="str">
            <v>OBLIGACIONES PENSIONALES</v>
          </cell>
        </row>
        <row r="494">
          <cell r="B494" t="str">
            <v>CENTRO DE ACTIVIDAD NO EXISTE!!!</v>
          </cell>
        </row>
        <row r="495">
          <cell r="B495" t="str">
            <v>EROGACIONES NO CAPITALIZABLES</v>
          </cell>
        </row>
        <row r="496">
          <cell r="B496" t="str">
            <v>GASTOS GENERALES ADMINISTRACION</v>
          </cell>
        </row>
        <row r="497">
          <cell r="B497" t="str">
            <v>SECRETARIA GENERAL</v>
          </cell>
        </row>
        <row r="498">
          <cell r="B498" t="str">
            <v>CENTRO DE ACTIVIDAD NO EXISTE!!!</v>
          </cell>
        </row>
        <row r="499">
          <cell r="B499" t="str">
            <v>SECRETARÍA AUXILIAR</v>
          </cell>
        </row>
        <row r="500">
          <cell r="B500" t="str">
            <v>CENTRO DE ACTIVIDAD NO EXISTE!!!</v>
          </cell>
        </row>
        <row r="501">
          <cell r="B501" t="str">
            <v>UNIDAD JURÍDICA AGUAS</v>
          </cell>
        </row>
        <row r="502">
          <cell r="B502" t="str">
            <v>CENTRO DE ACTIVIDAD NO EXISTE!!!</v>
          </cell>
        </row>
        <row r="503">
          <cell r="B503" t="str">
            <v>UNIDAD JURIDICA GENERACION ENERGIA/AMBIENTAL</v>
          </cell>
        </row>
        <row r="504">
          <cell r="B504" t="str">
            <v>CENTRO DE ACTIVIDAD NO EXISTE!!!</v>
          </cell>
        </row>
        <row r="505">
          <cell r="B505" t="str">
            <v>UNIDAD JURIDICA TELECOMUNICACIONES</v>
          </cell>
        </row>
        <row r="506">
          <cell r="B506" t="str">
            <v>CENTRO DE ACTIVIDAD NO EXISTE!!!</v>
          </cell>
        </row>
        <row r="507">
          <cell r="B507" t="str">
            <v>UNIDAD JURIDICA APOYO OTRAS ÁREAS</v>
          </cell>
        </row>
        <row r="508">
          <cell r="B508" t="str">
            <v>CENTRO DE ACTIVIDAD NO EXISTE!!!</v>
          </cell>
        </row>
        <row r="509">
          <cell r="B509" t="str">
            <v>UNIDAD JURIDICA BIENES INMUEBLES</v>
          </cell>
        </row>
        <row r="510">
          <cell r="B510" t="str">
            <v>CENTRO DE ACTIVIDAD NO EXISTE!!!</v>
          </cell>
        </row>
        <row r="511">
          <cell r="B511" t="str">
            <v>UNIDAD JURÍDICA PROCESOS Y RECLAMACIONES</v>
          </cell>
        </row>
        <row r="512">
          <cell r="B512" t="str">
            <v>CENTRO DE ACTIVIDAD NO EXISTE!!!</v>
          </cell>
        </row>
        <row r="513">
          <cell r="B513" t="str">
            <v>UNIDAD JURIDICA DISTRIBUCION ENERGIA</v>
          </cell>
        </row>
        <row r="514">
          <cell r="B514" t="str">
            <v>CENTRO DE ACTIVIDAD NO EXISTE!!!</v>
          </cell>
        </row>
        <row r="515">
          <cell r="B515" t="str">
            <v>UNIDAD JURIDICA COMERCIAL</v>
          </cell>
        </row>
        <row r="516">
          <cell r="B516" t="str">
            <v>CENTRO DE ACTIVIDAD NO EXISTE!!!</v>
          </cell>
        </row>
        <row r="517">
          <cell r="B517" t="str">
            <v>GERENCIA DISTRIBUCION ENERGIA</v>
          </cell>
        </row>
        <row r="518">
          <cell r="B518" t="str">
            <v>CENTRO DE ACTIVIDAD NO EXISTE!!!</v>
          </cell>
        </row>
        <row r="519">
          <cell r="B519" t="str">
            <v>PLANEACION DISTRIBUCION ENERGIA</v>
          </cell>
        </row>
        <row r="520">
          <cell r="B520" t="str">
            <v>CENTRO DE ACTIVIDAD NO EXISTE!!!</v>
          </cell>
        </row>
        <row r="521">
          <cell r="B521" t="str">
            <v>SUBGERENCIA NUEVOS NEGOCIOS</v>
          </cell>
        </row>
        <row r="522">
          <cell r="B522" t="str">
            <v>CENTRO DE ACTIVIDAD NO EXISTE!!!</v>
          </cell>
        </row>
        <row r="523">
          <cell r="B523" t="str">
            <v>SUBGERENCIA ADMON Y FINANZAS DISTRIBUCIÓN</v>
          </cell>
        </row>
        <row r="524">
          <cell r="B524" t="str">
            <v>ÁREA FINANZAS DISTRIBUCIÓN</v>
          </cell>
        </row>
        <row r="525">
          <cell r="B525" t="str">
            <v>ÁREA GESTIÓN ORGANIZACIONAL DISTRIBUCIÓN</v>
          </cell>
        </row>
        <row r="526">
          <cell r="B526" t="str">
            <v>ÁREA INFORMÁTICA DISTRIBUCIÓN</v>
          </cell>
        </row>
        <row r="527">
          <cell r="B527" t="str">
            <v>ÁREA TRANSACCIONES DISTRIBUCIÓN</v>
          </cell>
        </row>
        <row r="528">
          <cell r="B528" t="str">
            <v>GESTIÓN HUMANA DISTRIBUCIÓN</v>
          </cell>
        </row>
        <row r="529">
          <cell r="B529" t="str">
            <v>CENTRO DE ACTIVIDAD NO EXISTE!!!</v>
          </cell>
        </row>
        <row r="530">
          <cell r="B530" t="str">
            <v>SUBGERENCIA GAS</v>
          </cell>
        </row>
        <row r="531">
          <cell r="B531" t="str">
            <v>ÁREA OPERACIÓN REDES GAS</v>
          </cell>
        </row>
        <row r="532">
          <cell r="B532" t="str">
            <v>ÁREA EXPANSIÓN REDES DE GAS</v>
          </cell>
        </row>
        <row r="533">
          <cell r="B533" t="str">
            <v>TRANSACCIONES GAS</v>
          </cell>
        </row>
        <row r="534">
          <cell r="B534" t="str">
            <v>REDES GAS ALTA PRESIÓN</v>
          </cell>
        </row>
        <row r="535">
          <cell r="B535" t="str">
            <v>REDES GAS MEDIA Y BAJA PRESIÓN</v>
          </cell>
        </row>
        <row r="536">
          <cell r="B536" t="str">
            <v>REDES GAS</v>
          </cell>
        </row>
        <row r="537">
          <cell r="B537" t="str">
            <v>INSTALACIONES GAS</v>
          </cell>
        </row>
        <row r="538">
          <cell r="B538" t="str">
            <v>INGENIERÍA Y GESTIÓN GAS</v>
          </cell>
        </row>
        <row r="539">
          <cell r="B539" t="str">
            <v>CENTRO DE ACTIVIDAD NO EXISTE!!!</v>
          </cell>
        </row>
        <row r="540">
          <cell r="B540" t="str">
            <v>SUBGERENCIA REDES DE TRANSMISIÓN</v>
          </cell>
        </row>
        <row r="541">
          <cell r="B541" t="str">
            <v>CENTRO DE ACTIVIDAD NO EXISTE!!!</v>
          </cell>
        </row>
        <row r="542">
          <cell r="B542" t="str">
            <v>CENTRO REGIONAL DE DESPACHO</v>
          </cell>
        </row>
        <row r="543">
          <cell r="B543" t="str">
            <v>CENTRO DE ACTIVIDAD NO EXISTE!!!</v>
          </cell>
        </row>
        <row r="544">
          <cell r="B544" t="str">
            <v>ÁREA MONTAJES</v>
          </cell>
        </row>
        <row r="545">
          <cell r="B545" t="str">
            <v>CENTRO DE ACTIVIDAD NO EXISTE!!!</v>
          </cell>
        </row>
        <row r="546">
          <cell r="B546" t="str">
            <v>ÁREA AUTOMATIZACIÓN DISTRIBUCIÓN</v>
          </cell>
        </row>
        <row r="547">
          <cell r="B547" t="str">
            <v>CENTRO DE ACTIVIDAD NO EXISTE!!!</v>
          </cell>
        </row>
        <row r="548">
          <cell r="B548" t="str">
            <v>ÁREA SUBESTACIONES Y LINEAS</v>
          </cell>
        </row>
        <row r="549">
          <cell r="B549" t="str">
            <v>PROYECTOS REDES TRANSMISIÓN</v>
          </cell>
        </row>
        <row r="550">
          <cell r="B550" t="str">
            <v>CENTRO DE ACTIVIDAD NO EXISTE!!!</v>
          </cell>
        </row>
        <row r="551">
          <cell r="B551" t="str">
            <v>SUBGERENCIA REDES DE  DISTRIBUCIÓN</v>
          </cell>
        </row>
        <row r="552">
          <cell r="B552" t="str">
            <v>CENTRO DE ACTIVIDAD NO EXISTE!!!</v>
          </cell>
        </row>
        <row r="553">
          <cell r="B553" t="str">
            <v>ÁREA DISTRIBUCIÓN ELÉCTRICA NORTE</v>
          </cell>
        </row>
        <row r="554">
          <cell r="B554" t="str">
            <v>ATENCIÓN CLIENTES DISTRIBUCIÓN ELÉC. NORTE</v>
          </cell>
        </row>
        <row r="555">
          <cell r="B555" t="str">
            <v>PROYECTOS DISTRIBUCIÓN ELECTRICA NORTE</v>
          </cell>
        </row>
        <row r="556">
          <cell r="B556" t="str">
            <v>MTTO Y OPERACIÓN DISTRIBUC. ELECT. NORTE</v>
          </cell>
        </row>
        <row r="557">
          <cell r="B557" t="str">
            <v>CONTROL PÉRDIDAS DISTRIBUCIÓN ELEC. NORTE</v>
          </cell>
        </row>
        <row r="558">
          <cell r="B558" t="str">
            <v>CENTRO DE ACTIVIDAD NO EXISTE!!!</v>
          </cell>
        </row>
        <row r="559">
          <cell r="B559" t="str">
            <v>ÁREA DISTRIBUCIÓN ELÉCTRICA SUR</v>
          </cell>
        </row>
        <row r="560">
          <cell r="B560" t="str">
            <v>ATENCIÓN CLIENTES DISTRIBUCIÓN ELÉC. SUR</v>
          </cell>
        </row>
        <row r="561">
          <cell r="B561" t="str">
            <v>PROYECTOS DISTRIBUCIÓN ELECTRICA SUR</v>
          </cell>
        </row>
        <row r="562">
          <cell r="B562" t="str">
            <v>MTTO Y OPERACIÓN DISTRIBUC. ELECT. SUR</v>
          </cell>
        </row>
        <row r="563">
          <cell r="B563" t="str">
            <v>CONTROL PÉRDIDAS DISTRIBUCIÓN ELEC. SUR</v>
          </cell>
        </row>
        <row r="564">
          <cell r="B564" t="str">
            <v>CENTRO DE ACTIVIDAD NO EXISTE!!!</v>
          </cell>
        </row>
        <row r="565">
          <cell r="B565" t="str">
            <v>ÁREA ALUMBRADO PÚBLICO</v>
          </cell>
        </row>
        <row r="566">
          <cell r="B566" t="str">
            <v>MANTENIMIENTO ALUMBRADO PÚBLICO</v>
          </cell>
        </row>
        <row r="567">
          <cell r="B567" t="str">
            <v>PROYECTOS ALUMBRADO PÚBLICO</v>
          </cell>
        </row>
        <row r="568">
          <cell r="B568" t="str">
            <v>CENTRO DE ACTIVIDAD NO EXISTE!!!</v>
          </cell>
        </row>
        <row r="569">
          <cell r="B569" t="str">
            <v>ÁREA DISTRIBUCIÓN ELÉCTRICA CENTRO</v>
          </cell>
        </row>
        <row r="570">
          <cell r="B570" t="str">
            <v>ATENCIÓN CLIENTES DISTRIBUCIÓN ELÉC. CENTRO</v>
          </cell>
        </row>
        <row r="571">
          <cell r="B571" t="str">
            <v>PROYECTOS DISTRIBUCIÓN ELECTRICA CENTRO</v>
          </cell>
        </row>
        <row r="572">
          <cell r="B572" t="str">
            <v>MTTO Y OPERACIÓN DISTRIBUC. ELECT. CENTRO</v>
          </cell>
        </row>
        <row r="573">
          <cell r="B573" t="str">
            <v>CONTROL PÉRDIDAS DISTRIBUCIÓN ELEC. CENTRO</v>
          </cell>
        </row>
        <row r="574">
          <cell r="B574" t="str">
            <v>CENTRO DE ACTIVIDAD NO EXISTE!!!</v>
          </cell>
        </row>
        <row r="575">
          <cell r="B575" t="str">
            <v>DEPTO MANTENIMIENTO EQUIPOS</v>
          </cell>
        </row>
        <row r="576">
          <cell r="B576" t="str">
            <v>CENTRO DE ACTIVIDAD NO EXISTE!!!</v>
          </cell>
        </row>
        <row r="577">
          <cell r="B577" t="str">
            <v>ÁREA INGENIERÍA Y GESTIÓN DISTRIBUC. ELECT.</v>
          </cell>
        </row>
        <row r="578">
          <cell r="B578" t="str">
            <v>MANTENIMIENTO EQUIPOS</v>
          </cell>
        </row>
        <row r="579">
          <cell r="B579" t="str">
            <v>EQUIPOS DE MEDIDA</v>
          </cell>
        </row>
        <row r="580">
          <cell r="B580" t="str">
            <v>CENTRO DE INFORMACIÓN REDES</v>
          </cell>
        </row>
        <row r="581">
          <cell r="B581" t="str">
            <v xml:space="preserve">INGENIERÍA  </v>
          </cell>
        </row>
        <row r="582">
          <cell r="B582" t="str">
            <v>CENTRO DE ACTIVIDAD NO EXISTE!!!</v>
          </cell>
        </row>
        <row r="583">
          <cell r="B583" t="str">
            <v>AREA OPERACIÓN Y CALIDAD</v>
          </cell>
        </row>
        <row r="584">
          <cell r="B584" t="str">
            <v>CENTRO DE ACTIVIDAD NO EXISTE!!!</v>
          </cell>
        </row>
        <row r="585">
          <cell r="B585" t="str">
            <v>ÁREA REDUCCIÓN DE PERDIDAS</v>
          </cell>
        </row>
        <row r="586">
          <cell r="B586" t="str">
            <v>SUBESTACIÓN EL SALTO</v>
          </cell>
        </row>
        <row r="587">
          <cell r="B587" t="str">
            <v>SUBESTACIÓN GUADALUPE IV</v>
          </cell>
        </row>
        <row r="588">
          <cell r="B588" t="str">
            <v>SUBESTACIÓN PORCE II FUTURO</v>
          </cell>
        </row>
        <row r="589">
          <cell r="B589" t="str">
            <v>SUBESTACIÓN GUATAPÉ</v>
          </cell>
        </row>
        <row r="590">
          <cell r="B590" t="str">
            <v>SUBESTACIÓN PLAYAS</v>
          </cell>
        </row>
        <row r="591">
          <cell r="B591" t="str">
            <v>SUBESTACIÓN AYURA PIEDRAS BLANCAS</v>
          </cell>
        </row>
        <row r="592">
          <cell r="B592" t="str">
            <v>SUBESTACIÓN TASAJERA</v>
          </cell>
        </row>
        <row r="593">
          <cell r="B593" t="str">
            <v>SUBESTACIÓN RIOGRANDE I</v>
          </cell>
        </row>
        <row r="594">
          <cell r="B594" t="str">
            <v>CENTRO DE ACTIVIDAD NO EXISTE!!!</v>
          </cell>
        </row>
        <row r="595">
          <cell r="B595" t="str">
            <v>AJUSTES POR INFLACIÓN SANEAMIENTO</v>
          </cell>
        </row>
        <row r="596">
          <cell r="B596" t="str">
            <v>CENTRO DE ACTIVIDAD NO EXISTE!!!</v>
          </cell>
        </row>
        <row r="597">
          <cell r="B597" t="str">
            <v>ESTUDIOS PLAN FUTURO ACTO</v>
          </cell>
        </row>
        <row r="598">
          <cell r="B598" t="str">
            <v>CENTRO DE ACTIVIDAD NO EXISTE!!!</v>
          </cell>
        </row>
        <row r="599">
          <cell r="B599" t="str">
            <v>REORDENAMIENTO DE CIRCUITOS</v>
          </cell>
        </row>
        <row r="600">
          <cell r="B600" t="str">
            <v>MEJORAS SERVICIO EQUIPOS TTO.</v>
          </cell>
        </row>
        <row r="601">
          <cell r="B601" t="str">
            <v>TIERRAS PLAN DLLO SANEAM Y ACTO.</v>
          </cell>
        </row>
        <row r="602">
          <cell r="B602" t="str">
            <v>MEJORAS DEL SERV CAPT EQUIPO</v>
          </cell>
        </row>
        <row r="603">
          <cell r="B603" t="str">
            <v>CENTRO DE ACTIVIDAD NO EXISTE!!!</v>
          </cell>
        </row>
        <row r="604">
          <cell r="B604" t="str">
            <v>REDES Y DOMICIL.HV. ACT.PLAN FUTURO</v>
          </cell>
        </row>
        <row r="605">
          <cell r="B605" t="str">
            <v>CENTRO DE ACTIVIDAD NO EXISTE!!!</v>
          </cell>
        </row>
        <row r="606">
          <cell r="B606" t="str">
            <v>REDES ACUEDUCTO</v>
          </cell>
        </row>
        <row r="607">
          <cell r="B607" t="str">
            <v>CONTROL AGUA NO FACT.EQ.PLAN DLLO.</v>
          </cell>
        </row>
        <row r="608">
          <cell r="B608" t="str">
            <v>CONDUCCIONES OBRA CIVIL PLAN DLLO.</v>
          </cell>
        </row>
        <row r="609">
          <cell r="B609" t="str">
            <v>ACOMETIDAS OB CIV MEJ PL DLLO</v>
          </cell>
        </row>
        <row r="610">
          <cell r="B610" t="str">
            <v>CENTRO DE ACTIVIDAD NO EXISTE!!!</v>
          </cell>
        </row>
        <row r="611">
          <cell r="B611" t="str">
            <v>TANQUES PLAN DLLO SANEAM ACTO</v>
          </cell>
        </row>
        <row r="612">
          <cell r="B612" t="str">
            <v>MEJORAS SERVICIO EQUIPOS DIST.</v>
          </cell>
        </row>
        <row r="613">
          <cell r="B613" t="str">
            <v>ESTACIONES DE BOMB PLAN DLLO EQUIPOS</v>
          </cell>
        </row>
        <row r="614">
          <cell r="B614" t="str">
            <v>ESTACIONES BOMBEO PLAN DLLO O.CIVIL</v>
          </cell>
        </row>
        <row r="615">
          <cell r="B615" t="str">
            <v>CENTRO DE ACTIVIDAD NO EXISTE!!!</v>
          </cell>
        </row>
        <row r="616">
          <cell r="B616" t="str">
            <v>PAVIMENTOS ACTO PLAN SANEAMIENTO</v>
          </cell>
        </row>
        <row r="617">
          <cell r="B617" t="str">
            <v>CENTRO DE ACTIVIDAD NO EXISTE!!!</v>
          </cell>
        </row>
        <row r="618">
          <cell r="B618" t="str">
            <v>INST Y CAMB MED PLAN DLLO SANEAMIENTO</v>
          </cell>
        </row>
        <row r="619">
          <cell r="B619" t="str">
            <v>REINSTAL Y RETIRO INSTALACIONES</v>
          </cell>
        </row>
        <row r="620">
          <cell r="B620" t="str">
            <v>CENTRO DE ACTIVIDAD NO EXISTE!!!</v>
          </cell>
        </row>
        <row r="621">
          <cell r="B621" t="str">
            <v>ANTIC PL DLLO SANEAM RIO MEDELLIN</v>
          </cell>
        </row>
        <row r="622">
          <cell r="B622" t="str">
            <v>ING.PLAN DLLO.SANEAM.RIO MED.ACTO.</v>
          </cell>
        </row>
        <row r="623">
          <cell r="B623" t="str">
            <v>INTERV.PLAN DLLO.SANEAM.RIO.MEDELLIN</v>
          </cell>
        </row>
        <row r="624">
          <cell r="B624" t="str">
            <v>CENTRO DE ACTIVIDAD NO EXISTE!!!</v>
          </cell>
        </row>
        <row r="625">
          <cell r="B625" t="str">
            <v>G FROS PL DLLO SANEAM RIO MEDELLIN</v>
          </cell>
        </row>
        <row r="626">
          <cell r="B626" t="str">
            <v>CENTRO DE ACTIVIDAD NO EXISTE!!!</v>
          </cell>
        </row>
        <row r="627">
          <cell r="B627" t="str">
            <v>FLUCT TIPO DE CAMBIO ACUEDUCTO</v>
          </cell>
        </row>
        <row r="628">
          <cell r="B628" t="str">
            <v>CENTRO DE ACTIVIDAD NO EXISTE!!!</v>
          </cell>
        </row>
        <row r="629">
          <cell r="B629" t="str">
            <v>AJ P INFL P DLLO SANEAM RIO MEDELLIN</v>
          </cell>
        </row>
        <row r="630">
          <cell r="B630" t="str">
            <v>CENTRO DE ACTIVIDAD NO EXISTE!!!</v>
          </cell>
        </row>
        <row r="631">
          <cell r="B631" t="str">
            <v>CAP P DLLO SANEAM RIO MED Y ACTO</v>
          </cell>
        </row>
        <row r="632">
          <cell r="B632" t="str">
            <v>INFORMAT PLAN DLLO SANEAM R MEDELLIN</v>
          </cell>
        </row>
        <row r="633">
          <cell r="B633" t="str">
            <v>CENTROS DE OPERACION Y MANTTO</v>
          </cell>
        </row>
        <row r="634">
          <cell r="B634" t="str">
            <v>CENTRO DE ACTIVIDAD NO EXISTE!!!</v>
          </cell>
        </row>
        <row r="635">
          <cell r="B635" t="str">
            <v>ANTICIPOS PROGRAMAS GENERALES</v>
          </cell>
        </row>
        <row r="636">
          <cell r="B636" t="str">
            <v>CENTRO DE ACTIVIDAD NO EXISTE!!!</v>
          </cell>
        </row>
        <row r="637">
          <cell r="B637" t="str">
            <v>TANQUES GIRARDOTA</v>
          </cell>
        </row>
        <row r="638">
          <cell r="B638" t="str">
            <v>CENTRO DE ACTIVIDAD NO EXISTE!!!</v>
          </cell>
        </row>
        <row r="639">
          <cell r="B639" t="str">
            <v>USO RACIONAL DE ENERGIA</v>
          </cell>
        </row>
        <row r="640">
          <cell r="B640" t="str">
            <v>CENTRO DE ACTIVIDAD NO EXISTE!!!</v>
          </cell>
        </row>
        <row r="641">
          <cell r="B641" t="str">
            <v>ANTICIPOS FINDETER</v>
          </cell>
        </row>
        <row r="642">
          <cell r="B642" t="str">
            <v>CENTRO DE ACTIVIDAD NO EXISTE!!!</v>
          </cell>
        </row>
        <row r="643">
          <cell r="B643" t="str">
            <v>REORDENAMIENTO DE CIRCUITOS PLAN FUTURO</v>
          </cell>
        </row>
        <row r="644">
          <cell r="B644" t="str">
            <v>CENTRO DE ACTIVIDAD NO EXISTE!!!</v>
          </cell>
        </row>
        <row r="645">
          <cell r="B645" t="str">
            <v>SUMINISTRO EQUIPOS PLANTA TTO, PLAN BIENAL</v>
          </cell>
        </row>
        <row r="646">
          <cell r="B646" t="str">
            <v>CENTRO DE ACTIVIDAD NO EXISTE!!!</v>
          </cell>
        </row>
        <row r="647">
          <cell r="B647" t="str">
            <v>AJ POR INFL PLAN BIENAL ACTO</v>
          </cell>
        </row>
        <row r="648">
          <cell r="B648" t="str">
            <v>CENTRO DE ACTIVIDAD NO EXISTE!!!</v>
          </cell>
        </row>
        <row r="649">
          <cell r="B649" t="str">
            <v>EST DE BOMBEO PLAN BIENAL</v>
          </cell>
        </row>
        <row r="650">
          <cell r="B650" t="str">
            <v>CENTRO DE ACTIVIDAD NO EXISTE!!!</v>
          </cell>
        </row>
        <row r="651">
          <cell r="B651" t="str">
            <v>CONSTRUCC.YCAMB.DOMICILIARI.ACTO.</v>
          </cell>
        </row>
        <row r="652">
          <cell r="B652" t="str">
            <v>CENTRO DE ACTIVIDAD NO EXISTE!!!</v>
          </cell>
        </row>
        <row r="653">
          <cell r="B653" t="str">
            <v>CONSTRUCCION OBRAS PROG PERIUR</v>
          </cell>
        </row>
        <row r="654">
          <cell r="B654" t="str">
            <v>CONST NUEVAS REDES PLAN BIENAL</v>
          </cell>
        </row>
        <row r="655">
          <cell r="B655" t="str">
            <v>CENTRO DE ACTIVIDAD NO EXISTE!!!</v>
          </cell>
        </row>
        <row r="656">
          <cell r="B656" t="str">
            <v>ING PL BIENAL ACTO</v>
          </cell>
        </row>
        <row r="657">
          <cell r="B657" t="str">
            <v>ESTUD Y DIS ACTO PL BIENAL</v>
          </cell>
        </row>
        <row r="658">
          <cell r="B658" t="str">
            <v>CENTRO DE ACTIVIDAD NO EXISTE!!!</v>
          </cell>
        </row>
        <row r="659">
          <cell r="B659" t="str">
            <v>AJ POR INFL FINDETER HV</v>
          </cell>
        </row>
        <row r="660">
          <cell r="B660" t="str">
            <v>ANTICIPOS OTROS PROGRAMAS</v>
          </cell>
        </row>
        <row r="661">
          <cell r="B661" t="str">
            <v>CENTRO DE ACTIVIDAD NO EXISTE!!!</v>
          </cell>
        </row>
        <row r="662">
          <cell r="B662" t="str">
            <v>CONST COLECT INTERCEP PL BIENA</v>
          </cell>
        </row>
        <row r="663">
          <cell r="B663" t="str">
            <v>CENTRO DE ACTIVIDAD NO EXISTE!!!</v>
          </cell>
        </row>
        <row r="664">
          <cell r="B664" t="str">
            <v>CONSTRUCCION OBRAS CONTROL VER</v>
          </cell>
        </row>
        <row r="665">
          <cell r="B665" t="str">
            <v>CENTRO DE ACTIVIDAD NO EXISTE!!!</v>
          </cell>
        </row>
        <row r="666">
          <cell r="B666" t="str">
            <v>RECONST MASIVA RED ALC PL BIEN</v>
          </cell>
        </row>
        <row r="667">
          <cell r="B667" t="str">
            <v>CENTRO DE ACTIVIDAD NO EXISTE!!!</v>
          </cell>
        </row>
        <row r="668">
          <cell r="B668" t="str">
            <v>CONST NUEV REDES ALC PLAN BIEN</v>
          </cell>
        </row>
        <row r="669">
          <cell r="B669" t="str">
            <v>CENTRO DE ACTIVIDAD NO EXISTE!!!</v>
          </cell>
        </row>
        <row r="670">
          <cell r="B670" t="str">
            <v>AJ POR INFL PLAN BIENAL ALC</v>
          </cell>
        </row>
        <row r="671">
          <cell r="B671" t="str">
            <v>ING PL BIENAL ALC</v>
          </cell>
        </row>
        <row r="672">
          <cell r="B672" t="str">
            <v>EST Y DIS ALC PL BIENAL</v>
          </cell>
        </row>
        <row r="673">
          <cell r="B673" t="str">
            <v>INTERVENTORIA PLAN BIENAL ALC</v>
          </cell>
        </row>
        <row r="674">
          <cell r="B674" t="str">
            <v>CENTRO DE ACTIVIDAD NO EXISTE!!!</v>
          </cell>
        </row>
        <row r="675">
          <cell r="B675" t="str">
            <v>EQUIPOS TELEMETRIA Y TELECONTR</v>
          </cell>
        </row>
        <row r="676">
          <cell r="B676" t="str">
            <v>CENTRO DE TELEMETRIA OBRA CIVI</v>
          </cell>
        </row>
        <row r="677">
          <cell r="B677" t="str">
            <v>CENTRO DE ACTIVIDAD NO EXISTE!!!</v>
          </cell>
        </row>
        <row r="678">
          <cell r="B678" t="str">
            <v>PROG VEREDAS OTROS PROGRAMAS</v>
          </cell>
        </row>
        <row r="679">
          <cell r="B679" t="str">
            <v>CENTRO DE ACTIVIDAD NO EXISTE!!!</v>
          </cell>
        </row>
        <row r="680">
          <cell r="B680" t="str">
            <v>REDES Y DOMIC H.V.</v>
          </cell>
        </row>
        <row r="681">
          <cell r="B681" t="str">
            <v>RECONST. REDES INVAL ACUEDUCTO</v>
          </cell>
        </row>
        <row r="682">
          <cell r="B682" t="str">
            <v>RECONST REDES OTROS PROG    .</v>
          </cell>
        </row>
        <row r="683">
          <cell r="B683" t="str">
            <v>ESTABIL. PRESA PIEDRAS BLANCAS</v>
          </cell>
        </row>
        <row r="684">
          <cell r="B684" t="str">
            <v>TANQUES OTROS PROGRAMAS</v>
          </cell>
        </row>
        <row r="685">
          <cell r="B685" t="str">
            <v>REFACCION INST. TRATAMIENTO</v>
          </cell>
        </row>
        <row r="686">
          <cell r="B686" t="str">
            <v>REFACCION INSTALAC CAPTACION</v>
          </cell>
        </row>
        <row r="687">
          <cell r="B687" t="str">
            <v>ACONDICIONAMIENTO INSTALACIONES CALDAS</v>
          </cell>
        </row>
        <row r="688">
          <cell r="B688" t="str">
            <v>REFACCION INST. DISTRIBUCION</v>
          </cell>
        </row>
        <row r="689">
          <cell r="B689" t="str">
            <v>ACONDICIONAMIENTO INSTALACIONES BARBOSA</v>
          </cell>
        </row>
        <row r="690">
          <cell r="B690" t="str">
            <v>CENTRO DE ACTIVIDAD NO EXISTE!!!</v>
          </cell>
        </row>
        <row r="691">
          <cell r="B691" t="str">
            <v>REDES DE DISTRIBUCION ACUEDUCTO  OP</v>
          </cell>
        </row>
        <row r="692">
          <cell r="B692" t="str">
            <v>CONDUCCIONES E IMPULSACIONES</v>
          </cell>
        </row>
        <row r="693">
          <cell r="B693" t="str">
            <v>CENTRO DE ACTIVIDAD NO EXISTE!!!</v>
          </cell>
        </row>
        <row r="694">
          <cell r="B694" t="str">
            <v>ANTICIPOS OTROS PROGRAMAS</v>
          </cell>
        </row>
        <row r="695">
          <cell r="B695" t="str">
            <v>VENTA AGUA CRUDA</v>
          </cell>
        </row>
        <row r="696">
          <cell r="B696" t="str">
            <v>CENTRO DE ACTIVIDAD NO EXISTE!!!</v>
          </cell>
        </row>
        <row r="697">
          <cell r="B697" t="str">
            <v>OBRAS PROGRAMA PAAC OP</v>
          </cell>
        </row>
        <row r="698">
          <cell r="B698" t="str">
            <v>CENTRO DE ACTIVIDAD NO EXISTE!!!</v>
          </cell>
        </row>
        <row r="699">
          <cell r="B699" t="str">
            <v>AJ POR INFL OTROS PROGRAMAS</v>
          </cell>
        </row>
        <row r="700">
          <cell r="B700" t="str">
            <v>ANTICIPOS PLAN BIENAL</v>
          </cell>
        </row>
        <row r="701">
          <cell r="B701" t="str">
            <v>CENTRO DE ACTIVIDAD NO EXISTE!!!</v>
          </cell>
        </row>
        <row r="702">
          <cell r="B702" t="str">
            <v>MICROCENTRALES OBRA CIVIL</v>
          </cell>
        </row>
        <row r="703">
          <cell r="B703" t="str">
            <v>MICROCENTRALES EQUIPOS</v>
          </cell>
        </row>
        <row r="704">
          <cell r="B704" t="str">
            <v>INTERVENTORIA OTROS PROG ACTO</v>
          </cell>
        </row>
        <row r="705">
          <cell r="B705" t="str">
            <v>INGENIERIA OTROS PROGRAMAS ACU</v>
          </cell>
        </row>
        <row r="706">
          <cell r="B706" t="str">
            <v>CENTRO DE ACTIVIDAD NO EXISTE!!!</v>
          </cell>
        </row>
        <row r="707">
          <cell r="B707" t="str">
            <v>DISE\O PLANTA DE TTO SAN FDO</v>
          </cell>
        </row>
        <row r="708">
          <cell r="B708" t="str">
            <v>CENTRO DE ACTIVIDAD NO EXISTE!!!</v>
          </cell>
        </row>
        <row r="709">
          <cell r="B709" t="str">
            <v>GASTOS FROS FONADE PTA TTO SAN FDO</v>
          </cell>
        </row>
        <row r="710">
          <cell r="B710" t="str">
            <v>REUBICACION ASENT BELLO SANEAMIENTO</v>
          </cell>
        </row>
        <row r="711">
          <cell r="B711" t="str">
            <v>PREPARACION PL DLLO. DEL NORTE</v>
          </cell>
        </row>
        <row r="712">
          <cell r="B712" t="str">
            <v>CENTRO DE ACTIVIDAD NO EXISTE!!!</v>
          </cell>
        </row>
        <row r="713">
          <cell r="B713" t="str">
            <v>OBRAS PROG PAAC ALCANTARILLADO</v>
          </cell>
        </row>
        <row r="714">
          <cell r="B714" t="str">
            <v>CENTRO DE ACTIVIDAD NO EXISTE!!!</v>
          </cell>
        </row>
        <row r="715">
          <cell r="B715" t="str">
            <v>PLAN CORREGIMIENTO VEREDAS ALC</v>
          </cell>
        </row>
        <row r="716">
          <cell r="B716" t="str">
            <v>CENTRO DE ACTIVIDAD NO EXISTE!!!</v>
          </cell>
        </row>
        <row r="717">
          <cell r="B717" t="str">
            <v>REDES Y DOMICILIARIAS HV. ALC</v>
          </cell>
        </row>
        <row r="718">
          <cell r="B718" t="str">
            <v>INTERCEPT PLAN DLLO SANEAM R MEDELLIN</v>
          </cell>
        </row>
        <row r="719">
          <cell r="B719" t="str">
            <v>COLECT PLAN DLLO SANEAM RIO MEDELLIN</v>
          </cell>
        </row>
        <row r="720">
          <cell r="B720" t="str">
            <v>AJ POR INFL FINDETER HV</v>
          </cell>
        </row>
        <row r="721">
          <cell r="B721" t="str">
            <v>CENTRO DE ACTIVIDAD NO EXISTE!!!</v>
          </cell>
        </row>
        <row r="722">
          <cell r="B722" t="str">
            <v>CONST Y CAMB DOMIC Y ACOMETIDAS</v>
          </cell>
        </row>
        <row r="723">
          <cell r="B723" t="str">
            <v>CENTRO DE ACTIVIDAD NO EXISTE!!!</v>
          </cell>
        </row>
        <row r="724">
          <cell r="B724" t="str">
            <v>CONST SUMIDEROS PLUVIALES</v>
          </cell>
        </row>
        <row r="725">
          <cell r="B725" t="str">
            <v>CENTRO DE ACTIVIDAD NO EXISTE!!!</v>
          </cell>
        </row>
        <row r="726">
          <cell r="B726" t="str">
            <v>OBRAS CONTROL VERTIMIENTOS</v>
          </cell>
        </row>
        <row r="727">
          <cell r="B727" t="str">
            <v>CENTRO DE ACTIVIDAD NO EXISTE!!!</v>
          </cell>
        </row>
        <row r="728">
          <cell r="B728" t="str">
            <v>OBRA CIVIL PLANTA TTO SAN FDO</v>
          </cell>
        </row>
        <row r="729">
          <cell r="B729" t="str">
            <v>EQUIPOS PLANTA TTO SAN FDO</v>
          </cell>
        </row>
        <row r="730">
          <cell r="B730" t="str">
            <v>TERRENOS PLANTA TTO. SAN FERNANDO</v>
          </cell>
        </row>
        <row r="731">
          <cell r="B731" t="str">
            <v>MONTAJE EQUIPOS PLANTA TTO SAN FDO.</v>
          </cell>
        </row>
        <row r="732">
          <cell r="B732" t="str">
            <v>TIERR Y SERVID COLECT PL EXP REP</v>
          </cell>
        </row>
        <row r="733">
          <cell r="B733" t="str">
            <v>CENTRO DE ACTIVIDAD NO EXISTE!!!</v>
          </cell>
        </row>
        <row r="734">
          <cell r="B734" t="str">
            <v>AJ POR INFL OTROS PROGRAMAS</v>
          </cell>
        </row>
        <row r="735">
          <cell r="B735" t="str">
            <v>ANTICIPOS PLAN DLLO SANEAMIENTO</v>
          </cell>
        </row>
        <row r="736">
          <cell r="B736" t="str">
            <v>ING.PLAN DLLO.SANEAM.RIO MEDELLIN</v>
          </cell>
        </row>
        <row r="737">
          <cell r="B737" t="str">
            <v>INTERV. PLAN SANEAM.RIO MEDELLIN</v>
          </cell>
        </row>
        <row r="738">
          <cell r="B738" t="str">
            <v>CENTRO DE ACTIVIDAD NO EXISTE!!!</v>
          </cell>
        </row>
        <row r="739">
          <cell r="B739" t="str">
            <v>GTOS FROS PLAN DLLO SANEAMIENTO</v>
          </cell>
        </row>
        <row r="740">
          <cell r="B740" t="str">
            <v>CENTRO DE ACTIVIDAD NO EXISTE!!!</v>
          </cell>
        </row>
        <row r="741">
          <cell r="B741" t="str">
            <v>FLUCT TIPO DE CAMBIO ALCANTARILLADO</v>
          </cell>
        </row>
        <row r="742">
          <cell r="B742" t="str">
            <v>REPOSICION COLECTORES</v>
          </cell>
        </row>
        <row r="743">
          <cell r="B743" t="str">
            <v>CENTRO DE ACTIVIDAD NO EXISTE!!!</v>
          </cell>
        </row>
        <row r="744">
          <cell r="B744" t="str">
            <v>CONST COLECTORES OTROS PROGRAMAS</v>
          </cell>
        </row>
        <row r="745">
          <cell r="B745" t="str">
            <v>CENTRO DE ACTIVIDAD NO EXISTE!!!</v>
          </cell>
        </row>
        <row r="746">
          <cell r="B746" t="str">
            <v>PROGRAMA PERIURBANO OTROS PROGRAMAS</v>
          </cell>
        </row>
        <row r="747">
          <cell r="B747" t="str">
            <v>CENTRO DE ACTIVIDAD NO EXISTE!!!</v>
          </cell>
        </row>
        <row r="748">
          <cell r="B748" t="str">
            <v>RECONST.REDES INVAL ALCANTARILLADO</v>
          </cell>
        </row>
        <row r="749">
          <cell r="B749" t="str">
            <v>REPOSICION REDES ALCANTARILLADO</v>
          </cell>
        </row>
        <row r="750">
          <cell r="B750" t="str">
            <v>INGENIERIA OTROS PROGRAMAS ALCDO.</v>
          </cell>
        </row>
        <row r="751">
          <cell r="B751" t="str">
            <v>CENTRO DE ACTIVIDAD NO EXISTE!!!</v>
          </cell>
        </row>
        <row r="752">
          <cell r="B752" t="str">
            <v>RED PRIMARIA REPOSICIÓN</v>
          </cell>
        </row>
        <row r="753">
          <cell r="B753" t="str">
            <v>CENTRO DE ACTIVIDAD NO EXISTE!!!</v>
          </cell>
        </row>
        <row r="754">
          <cell r="B754" t="str">
            <v>RED SECUNDARIA REPOSICION</v>
          </cell>
        </row>
        <row r="755">
          <cell r="B755" t="str">
            <v>CENTRO DE ACTIVIDAD NO EXISTE!!!</v>
          </cell>
        </row>
        <row r="756">
          <cell r="B756" t="str">
            <v>PROYECTO CENTRO</v>
          </cell>
        </row>
        <row r="757">
          <cell r="B757" t="str">
            <v>EQUIPOS RED DE ACCESO</v>
          </cell>
        </row>
        <row r="758">
          <cell r="B758" t="str">
            <v>PROYECTO TELEVISION POR CABLE</v>
          </cell>
        </row>
        <row r="759">
          <cell r="B759" t="str">
            <v>RED PRIMARIA PLAN 95-99</v>
          </cell>
        </row>
        <row r="760">
          <cell r="B760" t="str">
            <v>CENTRO DE ACTIVIDAD NO EXISTE!!!</v>
          </cell>
        </row>
        <row r="761">
          <cell r="B761" t="str">
            <v>RED SECUNDARIA PLAN 95-99</v>
          </cell>
        </row>
        <row r="762">
          <cell r="B762" t="str">
            <v>CENTRO DE ACTIVIDAD NO EXISTE!!!</v>
          </cell>
        </row>
        <row r="763">
          <cell r="B763" t="str">
            <v>RED CANALIZACIONES PLAN 95-99</v>
          </cell>
        </row>
        <row r="764">
          <cell r="B764" t="str">
            <v>CENTRO DE ACTIVIDAD NO EXISTE!!!</v>
          </cell>
        </row>
        <row r="765">
          <cell r="B765" t="str">
            <v>PRESURIZACION</v>
          </cell>
        </row>
        <row r="766">
          <cell r="B766" t="str">
            <v>SISTEMATIZACION DANOS P.95-99</v>
          </cell>
        </row>
        <row r="767">
          <cell r="B767" t="str">
            <v>PLAN DE CONTINGENCIAS</v>
          </cell>
        </row>
        <row r="768">
          <cell r="B768" t="str">
            <v>DESPACHO CUADRILLAS P.95-99</v>
          </cell>
        </row>
        <row r="769">
          <cell r="B769" t="str">
            <v>LINEA ABONADOS PLAN 95-99</v>
          </cell>
        </row>
        <row r="770">
          <cell r="B770" t="str">
            <v>LINEA ABONADOS ORIENTE</v>
          </cell>
        </row>
        <row r="771">
          <cell r="B771" t="str">
            <v>TELS PUBLICOS SIN COBRO</v>
          </cell>
        </row>
        <row r="772">
          <cell r="B772" t="str">
            <v>CENTRO DE ACTIVIDAD NO EXISTE!!!</v>
          </cell>
        </row>
        <row r="773">
          <cell r="B773" t="str">
            <v>TELS PUBLICOS CON COBRO</v>
          </cell>
        </row>
        <row r="774">
          <cell r="B774" t="str">
            <v>CENTRO DE ACTIVIDAD NO EXISTE!!!</v>
          </cell>
        </row>
        <row r="775">
          <cell r="B775" t="str">
            <v>DESPACHO DE CUADRILLAS ORIENTE</v>
          </cell>
        </row>
        <row r="776">
          <cell r="B776" t="str">
            <v>COMUNICACION VIA RADIO</v>
          </cell>
        </row>
        <row r="777">
          <cell r="B777" t="str">
            <v>CAMBIOS RED PRIM Y SECUN P 95-99</v>
          </cell>
        </row>
        <row r="778">
          <cell r="B778" t="str">
            <v>CENTRO DE ACTIVIDAD NO EXISTE!!!</v>
          </cell>
        </row>
        <row r="779">
          <cell r="B779" t="str">
            <v>AJ X INFL VIA RADIO CONVENCIONAL</v>
          </cell>
        </row>
        <row r="780">
          <cell r="B780" t="str">
            <v>CENTRO DE ACTIVIDAD NO EXISTE!!!</v>
          </cell>
        </row>
        <row r="781">
          <cell r="B781" t="str">
            <v>ANTICIPOS PLAN MAESTRO DE INF.</v>
          </cell>
        </row>
        <row r="782">
          <cell r="B782" t="str">
            <v>CENTRO DE ACTIVIDAD NO EXISTE!!!</v>
          </cell>
        </row>
        <row r="783">
          <cell r="B783" t="str">
            <v>AJ POR INFL OTROS PROGRAMAS</v>
          </cell>
        </row>
        <row r="784">
          <cell r="B784" t="str">
            <v>CENTRO DE ACTIVIDAD NO EXISTE!!!</v>
          </cell>
        </row>
        <row r="785">
          <cell r="B785" t="str">
            <v>ANTICIPOS PROGRAMAS ESPECIALES</v>
          </cell>
        </row>
        <row r="786">
          <cell r="B786" t="str">
            <v>CENTRO DE ACTIVIDAD NO EXISTE!!!</v>
          </cell>
        </row>
        <row r="787">
          <cell r="B787" t="str">
            <v>CORREO DE VOZ</v>
          </cell>
        </row>
        <row r="788">
          <cell r="B788" t="str">
            <v>LARGA DISTANCIA</v>
          </cell>
        </row>
        <row r="789">
          <cell r="B789" t="str">
            <v>TRUNKING NACIONAL</v>
          </cell>
        </row>
        <row r="790">
          <cell r="B790" t="str">
            <v>RED METROPOLITANA DE DATOS</v>
          </cell>
        </row>
        <row r="791">
          <cell r="B791" t="str">
            <v>INTERNET</v>
          </cell>
        </row>
        <row r="792">
          <cell r="B792" t="str">
            <v>PROYECTO BOGOTA</v>
          </cell>
        </row>
        <row r="793">
          <cell r="B793" t="str">
            <v>PROYECTO RED FIBRA OPTICA TORRES ISA</v>
          </cell>
        </row>
        <row r="794">
          <cell r="B794" t="str">
            <v>CENTRO DE ACTIVIDAD NO EXISTE!!!</v>
          </cell>
        </row>
        <row r="795">
          <cell r="B795" t="str">
            <v>LINEAS PLAN 95-99</v>
          </cell>
        </row>
        <row r="796">
          <cell r="B796" t="str">
            <v>TRANSMISION PLAN 95-99</v>
          </cell>
        </row>
        <row r="797">
          <cell r="B797" t="str">
            <v>RDSI PLAN 95-99</v>
          </cell>
        </row>
        <row r="798">
          <cell r="B798" t="str">
            <v>EDIFICIOS PLAN MERCADEO</v>
          </cell>
        </row>
        <row r="799">
          <cell r="B799" t="str">
            <v>REPUESTOS EQUIPOS PRUEBA Y GENERACION</v>
          </cell>
        </row>
        <row r="800">
          <cell r="B800" t="str">
            <v>CENTRO DE ACTIVIDAD NO EXISTE!!!</v>
          </cell>
        </row>
        <row r="801">
          <cell r="B801" t="str">
            <v>CAPACITACION TELEFONOS</v>
          </cell>
        </row>
        <row r="802">
          <cell r="B802" t="str">
            <v>CENTRO DE ACTIVIDAD NO EXISTE!!!</v>
          </cell>
        </row>
        <row r="803">
          <cell r="B803" t="str">
            <v>DESPACHO DE CUADRILLAS</v>
          </cell>
        </row>
        <row r="804">
          <cell r="B804" t="str">
            <v>CENTRO DE ACTIVIDAD NO EXISTE!!!</v>
          </cell>
        </row>
        <row r="805">
          <cell r="B805" t="str">
            <v>ANTICIPO PROGRAMAS GENERALES</v>
          </cell>
        </row>
        <row r="806">
          <cell r="B806" t="str">
            <v>EDIFICIOS PLANTA INT P.95-99</v>
          </cell>
        </row>
        <row r="807">
          <cell r="B807" t="str">
            <v>CENTRO DE ACTIVIDAD NO EXISTE!!!</v>
          </cell>
        </row>
        <row r="808">
          <cell r="B808" t="str">
            <v>INTERCON ENTRE CENTRALES P 95-99</v>
          </cell>
        </row>
        <row r="809">
          <cell r="B809" t="str">
            <v>GABINETES INTERRUPTORES P.95-99</v>
          </cell>
        </row>
        <row r="810">
          <cell r="B810" t="str">
            <v>AIRE ACONDICIONADO PLAN 95-99</v>
          </cell>
        </row>
        <row r="811">
          <cell r="B811" t="str">
            <v>CENTRO DE ACTIVIDAD NO EXISTE!!!</v>
          </cell>
        </row>
        <row r="812">
          <cell r="B812" t="str">
            <v>EQUIPO FIJO ORIENTE</v>
          </cell>
        </row>
        <row r="813">
          <cell r="B813" t="str">
            <v>CENTRO DE ACTIVIDAD NO EXISTE!!!</v>
          </cell>
        </row>
        <row r="814">
          <cell r="B814" t="str">
            <v>ANTICIPOS TELEF PLAN 95-99</v>
          </cell>
        </row>
        <row r="815">
          <cell r="B815" t="str">
            <v>PLAN REPOSICION LINEAS</v>
          </cell>
        </row>
        <row r="816">
          <cell r="B816" t="str">
            <v>EQUIPOS TRANSMISION 35000 LINEAS</v>
          </cell>
        </row>
        <row r="817">
          <cell r="B817" t="str">
            <v>EQUIPOS COMPUTACION 98000 LINEAS</v>
          </cell>
        </row>
        <row r="818">
          <cell r="B818" t="str">
            <v>EQUIPOS TRANSMISION 98000 LINEAS</v>
          </cell>
        </row>
        <row r="819">
          <cell r="B819" t="str">
            <v>OTROS PLAN REVISION 95-99</v>
          </cell>
        </row>
        <row r="820">
          <cell r="B820" t="str">
            <v>CONMUTACION ESTRATOS BAJOS 2A. LINEA</v>
          </cell>
        </row>
        <row r="821">
          <cell r="B821" t="str">
            <v>CENTRO DE ACTIVIDAD NO EXISTE!!!</v>
          </cell>
        </row>
        <row r="822">
          <cell r="B822" t="str">
            <v>ANTICIPOS PLANTA GENERAL</v>
          </cell>
        </row>
        <row r="823">
          <cell r="B823" t="str">
            <v>CENTRO DE ACTIVIDAD NO EXISTE!!!</v>
          </cell>
        </row>
        <row r="824">
          <cell r="B824" t="str">
            <v>ANTICIPOS TELEFONOS PLAN 90-94</v>
          </cell>
        </row>
        <row r="825">
          <cell r="B825" t="str">
            <v>CENTRO DE ACTIVIDAD NO EXISTE!!!</v>
          </cell>
        </row>
        <row r="826">
          <cell r="B826" t="str">
            <v>INGENIERIA OTROS PROGRAMAS</v>
          </cell>
        </row>
        <row r="827">
          <cell r="B827" t="str">
            <v>INGENIERIA PLAN REPOSICION</v>
          </cell>
        </row>
        <row r="828">
          <cell r="B828" t="str">
            <v>GASTOS FROS. EXIMBANK PLAN 95-99</v>
          </cell>
        </row>
        <row r="829">
          <cell r="B829" t="str">
            <v>CENTRO DE ACTIVIDAD NO EXISTE!!!</v>
          </cell>
        </row>
        <row r="830">
          <cell r="B830" t="str">
            <v>GASTOS FINANCIEROS PLESSEY</v>
          </cell>
        </row>
        <row r="831">
          <cell r="B831" t="str">
            <v>CENTRO DE ACTIVIDAD NO EXISTE!!!</v>
          </cell>
        </row>
        <row r="832">
          <cell r="B832" t="str">
            <v>AJUSTES POR INFLACION ORIENTE</v>
          </cell>
        </row>
        <row r="833">
          <cell r="B833" t="str">
            <v>CENTRO DE ACTIVIDAD NO EXISTE!!!</v>
          </cell>
        </row>
        <row r="834">
          <cell r="B834" t="str">
            <v>AJUSTE PRESTAMO EXIMBANK (189K)</v>
          </cell>
        </row>
        <row r="835">
          <cell r="B835" t="str">
            <v>CENTRO DE ACTIVIDAD NO EXISTE!!!</v>
          </cell>
        </row>
        <row r="836">
          <cell r="B836" t="str">
            <v>AJUSTE PRESTAMO PLESSEY</v>
          </cell>
        </row>
        <row r="837">
          <cell r="B837" t="str">
            <v>CENTRO DE ACTIVIDAD NO EXISTE!!!</v>
          </cell>
        </row>
        <row r="838">
          <cell r="B838" t="str">
            <v>INGENIERIA PLAN DE DESARROLLO 2000-2002</v>
          </cell>
        </row>
        <row r="839">
          <cell r="B839" t="str">
            <v>AJUSTE PTMO. C. ITOH (161K)</v>
          </cell>
        </row>
        <row r="840">
          <cell r="B840" t="str">
            <v>INGENIERIA PLAN 1995-1999</v>
          </cell>
        </row>
        <row r="841">
          <cell r="B841" t="str">
            <v>INGENIERIA PROYECTO ORIENTE</v>
          </cell>
        </row>
        <row r="842">
          <cell r="B842" t="str">
            <v>CENTRO DE ACTIVIDAD NO EXISTE!!!</v>
          </cell>
        </row>
        <row r="843">
          <cell r="B843" t="str">
            <v>INGENIERIA TELEFONOS VIA RADIO</v>
          </cell>
        </row>
        <row r="844">
          <cell r="B844" t="str">
            <v>SUB O.C. CANALIZACIONES VARIAS</v>
          </cell>
        </row>
        <row r="845">
          <cell r="B845" t="str">
            <v>SUB O.C. VARIAS</v>
          </cell>
        </row>
        <row r="846">
          <cell r="B846" t="str">
            <v>SUB LA CABAÑA O. C. EXPANSION</v>
          </cell>
        </row>
        <row r="847">
          <cell r="B847" t="str">
            <v>SUB ITAGUI O. C. EXPANSION</v>
          </cell>
        </row>
        <row r="848">
          <cell r="B848" t="str">
            <v>SUB. YARUMAL II O.C. AMPLIACION</v>
          </cell>
        </row>
        <row r="849">
          <cell r="B849" t="str">
            <v>SUB. SAN ANTONIO OO. CC. AMPLIACION</v>
          </cell>
        </row>
        <row r="850">
          <cell r="B850" t="str">
            <v>SUB. RIONEGRO O.C. AMPLIACION</v>
          </cell>
        </row>
        <row r="851">
          <cell r="B851" t="str">
            <v>SUB. SANTA ROSA O.C. AMPLIACION</v>
          </cell>
        </row>
        <row r="852">
          <cell r="B852" t="str">
            <v>SUB. O.C. CANALIZACIONES ITAGUI</v>
          </cell>
        </row>
        <row r="853">
          <cell r="B853" t="str">
            <v>SUB. O.C. CANALIZACIONES CABA\A</v>
          </cell>
        </row>
        <row r="854">
          <cell r="B854" t="str">
            <v>SUB. O.C. CANALIZACIONES ORIENTE</v>
          </cell>
        </row>
        <row r="855">
          <cell r="B855" t="str">
            <v>EXPANSION REDES PRIMARIAS</v>
          </cell>
        </row>
        <row r="856">
          <cell r="B856" t="str">
            <v>REPOSICION REDES PRIMARIAS</v>
          </cell>
        </row>
        <row r="857">
          <cell r="B857" t="str">
            <v>RECTIFICACION REDES SECUNDARIAS</v>
          </cell>
        </row>
        <row r="858">
          <cell r="B858" t="str">
            <v>EST. REDES PRIMARIAS AISLAD.</v>
          </cell>
        </row>
        <row r="859">
          <cell r="B859" t="str">
            <v>CENTRO DE INFORMACION REDES</v>
          </cell>
        </row>
        <row r="860">
          <cell r="B860" t="str">
            <v>RECONSTRUCCION TRANSFORMADORES</v>
          </cell>
        </row>
        <row r="861">
          <cell r="B861" t="str">
            <v>AUTOMATIZACION DE LA DISTRIBUC</v>
          </cell>
        </row>
        <row r="862">
          <cell r="B862" t="str">
            <v>REDES OTRAS ENTIDADES</v>
          </cell>
        </row>
        <row r="863">
          <cell r="B863" t="str">
            <v>SUB. RIO CLARO 110KV EXPANSION</v>
          </cell>
        </row>
        <row r="864">
          <cell r="B864" t="str">
            <v>REDES SUBESTACION ORIENTE II</v>
          </cell>
        </row>
        <row r="865">
          <cell r="B865" t="str">
            <v>REDES SUB LA CABANA</v>
          </cell>
        </row>
        <row r="866">
          <cell r="B866" t="str">
            <v>REDES SUB. ITAGUI</v>
          </cell>
        </row>
        <row r="867">
          <cell r="B867" t="str">
            <v>CONTRATOS REDES ZONA SUR</v>
          </cell>
        </row>
        <row r="868">
          <cell r="B868" t="str">
            <v>CONTRATO RED AEREA</v>
          </cell>
        </row>
        <row r="869">
          <cell r="B869" t="str">
            <v>ESTUDIOS DISTRIBUCION ENERGIA</v>
          </cell>
        </row>
        <row r="870">
          <cell r="B870" t="str">
            <v>CONTRATOS REDES ZONA NORTE</v>
          </cell>
        </row>
        <row r="871">
          <cell r="B871" t="str">
            <v>SUB. RIO CLARO 110KV OC EXPANSION</v>
          </cell>
        </row>
        <row r="872">
          <cell r="B872" t="str">
            <v>SUB. RIONEGRO AMPLIACION</v>
          </cell>
        </row>
        <row r="873">
          <cell r="B873" t="str">
            <v>INGENIERIA DISTRIBUCION 95-2000</v>
          </cell>
        </row>
        <row r="874">
          <cell r="B874" t="str">
            <v>SUB. STA ROSA AMPLIACION</v>
          </cell>
        </row>
        <row r="875">
          <cell r="B875" t="str">
            <v>S/E SAN CRISTOBAL AMPLIACION</v>
          </cell>
        </row>
        <row r="876">
          <cell r="B876" t="str">
            <v>SUB YARUMAL AMPLIACION</v>
          </cell>
        </row>
        <row r="877">
          <cell r="B877" t="str">
            <v>SUB ITAGUI EXPANSION</v>
          </cell>
        </row>
        <row r="878">
          <cell r="B878" t="str">
            <v>SUB LA CABANA EXPANSION</v>
          </cell>
        </row>
        <row r="879">
          <cell r="B879" t="str">
            <v>SUB REP/RESP TRANSF POTENCIA</v>
          </cell>
        </row>
        <row r="880">
          <cell r="B880" t="str">
            <v>SUB REP/RESP INTERRUP SECCIONAD</v>
          </cell>
        </row>
        <row r="881">
          <cell r="B881" t="str">
            <v>SUB REP/RESP TRANSFORMAD MEDIDA</v>
          </cell>
        </row>
        <row r="882">
          <cell r="B882" t="str">
            <v>SUB REP/RESP PARARRAYOS</v>
          </cell>
        </row>
        <row r="883">
          <cell r="B883" t="str">
            <v>ANTICIPOS DISTRIBUCION 95 - 2000</v>
          </cell>
        </row>
        <row r="884">
          <cell r="B884" t="str">
            <v>SUB REFUERZO PROTECCIONES VARIAS</v>
          </cell>
        </row>
        <row r="885">
          <cell r="B885" t="str">
            <v>SUB REFUERZO PROTECC COMUNICAC.</v>
          </cell>
        </row>
        <row r="886">
          <cell r="B886" t="str">
            <v>SUB REP/RESP VARIAS</v>
          </cell>
        </row>
        <row r="887">
          <cell r="B887" t="str">
            <v>OBRAS CIVILES VARIAS PESD</v>
          </cell>
        </row>
        <row r="888">
          <cell r="B888" t="str">
            <v>SUBESTACION SANTA ANA</v>
          </cell>
        </row>
        <row r="889">
          <cell r="B889" t="str">
            <v>GASTOS FINANCIEROS DISTRIBUCION</v>
          </cell>
        </row>
        <row r="890">
          <cell r="B890" t="str">
            <v>EMPALME ZAMORA-CABANA-OCCIDENTE</v>
          </cell>
        </row>
        <row r="891">
          <cell r="B891" t="str">
            <v>EMPALME BELEN ITAGUI ANCON SUR</v>
          </cell>
        </row>
        <row r="892">
          <cell r="B892" t="str">
            <v>INTERCONEXION 110 KV SUB BELLO</v>
          </cell>
        </row>
        <row r="893">
          <cell r="B893" t="str">
            <v>AJ POR INFL PL EXP SUB DIST FUT</v>
          </cell>
        </row>
        <row r="894">
          <cell r="B894" t="str">
            <v>CENTRO DE ACTIVIDAD NO EXISTE!!!</v>
          </cell>
        </row>
        <row r="895">
          <cell r="B895" t="str">
            <v>INVERSIONES ANALISIS TECNICO</v>
          </cell>
        </row>
        <row r="896">
          <cell r="B896" t="str">
            <v>INVERSIONES Y MEJORAS ZONA METROPOLITANA</v>
          </cell>
        </row>
        <row r="897">
          <cell r="B897" t="str">
            <v>INVERSIONES Y MEJORAS ZONA GUADALUPE</v>
          </cell>
        </row>
        <row r="898">
          <cell r="B898" t="str">
            <v>INVERSIONES Y MEJORAS ZONA GUATAPE</v>
          </cell>
        </row>
        <row r="899">
          <cell r="B899" t="str">
            <v>INVERSIONES Y MEJORAS SECCION PLAYAS</v>
          </cell>
        </row>
        <row r="900">
          <cell r="B900" t="str">
            <v>INVERSIONES OPERACIÓN CENTRO CONTROL</v>
          </cell>
        </row>
        <row r="901">
          <cell r="B901" t="str">
            <v>INVERSIONES MANTENIMIENTO CENTRO CONTROL</v>
          </cell>
        </row>
        <row r="902">
          <cell r="B902" t="str">
            <v>REHABILITACION CENTRAL GUATAPE</v>
          </cell>
        </row>
        <row r="903">
          <cell r="B903" t="str">
            <v>PROYECTOS COMUNICACIONES</v>
          </cell>
        </row>
        <row r="904">
          <cell r="B904" t="str">
            <v>CENTRO DE ACTIVIDAD NO EXISTE!!!</v>
          </cell>
        </row>
        <row r="905">
          <cell r="B905" t="str">
            <v>EQUIPOS PROD ENERGIA FUTURO</v>
          </cell>
        </row>
        <row r="906">
          <cell r="B906" t="str">
            <v>REPOSIC EG TRON G1P 3 Y PB</v>
          </cell>
        </row>
        <row r="907">
          <cell r="B907" t="str">
            <v>MODERNIZACION GUATAPE</v>
          </cell>
        </row>
        <row r="908">
          <cell r="B908" t="str">
            <v>OBRAS VARIAS DIVISION TECNICA FUTURA</v>
          </cell>
        </row>
        <row r="909">
          <cell r="B909" t="str">
            <v>CENTRO DE ACTIVIDAD NO EXISTE!!!</v>
          </cell>
        </row>
        <row r="910">
          <cell r="B910" t="str">
            <v>OBRAS VARIAS MINICENTRAL PAJARITO</v>
          </cell>
        </row>
        <row r="911">
          <cell r="B911" t="str">
            <v>OBRAS VARIANTE MINICENTRAL DOLORES</v>
          </cell>
        </row>
        <row r="912">
          <cell r="B912" t="str">
            <v>DISENO PAJARITO DOLORES</v>
          </cell>
        </row>
        <row r="913">
          <cell r="B913" t="str">
            <v>CENTRO DE ACTIVIDAD NO EXISTE!!!</v>
          </cell>
        </row>
        <row r="914">
          <cell r="B914" t="str">
            <v>EQUIPOS MINICENTRAL PAJARITO</v>
          </cell>
        </row>
        <row r="915">
          <cell r="B915" t="str">
            <v>EQUIPOS MINICENTRAL DOLORES</v>
          </cell>
        </row>
        <row r="916">
          <cell r="B916" t="str">
            <v>INTERVENTORIA PAJARITO DOLORES</v>
          </cell>
        </row>
        <row r="917">
          <cell r="B917" t="str">
            <v>INGEN. Y ADMON. MINICENTRALES</v>
          </cell>
        </row>
        <row r="918">
          <cell r="B918" t="str">
            <v>CENTRO DE ACTIVIDAD NO EXISTE!!!</v>
          </cell>
        </row>
        <row r="919">
          <cell r="B919" t="str">
            <v>ANTICIPO MINICENTRALES PAJARITO DOLORES</v>
          </cell>
        </row>
        <row r="920">
          <cell r="B920" t="str">
            <v>CENTRO DE ACTIVIDAD NO EXISTE!!!</v>
          </cell>
        </row>
        <row r="921">
          <cell r="B921" t="str">
            <v>ANTIC GENERACION Y REPOS. EQ. FUTUROS</v>
          </cell>
        </row>
        <row r="922">
          <cell r="B922" t="str">
            <v>CENTRO DE ACTIVIDAD NO EXISTE!!!</v>
          </cell>
        </row>
        <row r="923">
          <cell r="B923" t="str">
            <v>ING. Y ADMON. GENER. Y REP. EQUIPOS FUT.</v>
          </cell>
        </row>
        <row r="924">
          <cell r="B924" t="str">
            <v>CENTRO DE ACTIVIDAD NO EXISTE!!!</v>
          </cell>
        </row>
        <row r="925">
          <cell r="B925" t="str">
            <v>ING PLAN REDUCC PERDIDAS 95 - 2000</v>
          </cell>
        </row>
        <row r="926">
          <cell r="B926" t="str">
            <v>INSTALACION CONTADORES H.V. PERDIDAS</v>
          </cell>
        </row>
        <row r="927">
          <cell r="B927" t="str">
            <v>CONTADORES SECCION MEDICION</v>
          </cell>
        </row>
        <row r="928">
          <cell r="B928" t="str">
            <v>INSTALACION CONTADORES H.V.</v>
          </cell>
        </row>
        <row r="929">
          <cell r="B929" t="str">
            <v>INSTALACION CONTADORES PRPF</v>
          </cell>
        </row>
        <row r="930">
          <cell r="B930" t="str">
            <v>REDES PRIMARIAS HV</v>
          </cell>
        </row>
        <row r="931">
          <cell r="B931" t="str">
            <v>REDES SECUNDARIAS HV</v>
          </cell>
        </row>
        <row r="932">
          <cell r="B932" t="str">
            <v>TRANSFORMADORES HV</v>
          </cell>
        </row>
        <row r="933">
          <cell r="B933" t="str">
            <v>EXPANSION REDES D.E.N.</v>
          </cell>
        </row>
        <row r="934">
          <cell r="B934" t="str">
            <v>EXPANSION REDES D.E.C.</v>
          </cell>
        </row>
        <row r="935">
          <cell r="B935" t="str">
            <v>EXPANSION REDES D.E.S.</v>
          </cell>
        </row>
        <row r="936">
          <cell r="B936" t="str">
            <v>LEVANT. INFORMACION DISTRIBUCION</v>
          </cell>
        </row>
        <row r="937">
          <cell r="B937" t="str">
            <v>CONTRATOS UNIDAD GESTION Y ANALISIS D.E.</v>
          </cell>
        </row>
        <row r="938">
          <cell r="B938" t="str">
            <v>CONTRATOS DEPTO. CONTROL ENERGIA</v>
          </cell>
        </row>
        <row r="939">
          <cell r="B939" t="str">
            <v>CENTRO DE ACTIVIDAD NO EXISTE!!!</v>
          </cell>
        </row>
        <row r="940">
          <cell r="B940" t="str">
            <v>PILAS PUBLICAS</v>
          </cell>
        </row>
        <row r="941">
          <cell r="B941" t="str">
            <v>RECONSTRUCCION TRANSFORMADOR BARBOSA</v>
          </cell>
        </row>
        <row r="942">
          <cell r="B942" t="str">
            <v>CENTRO DE ACTIVIDAD NO EXISTE!!!</v>
          </cell>
        </row>
        <row r="943">
          <cell r="B943" t="str">
            <v>SISTEMA TELEMEDIDA DISTRIBUCION</v>
          </cell>
        </row>
        <row r="944">
          <cell r="B944" t="str">
            <v>SIST TELEMEDIDA GENERACION</v>
          </cell>
        </row>
        <row r="945">
          <cell r="B945" t="str">
            <v>SUB CENTRO CONTROL TELEMEDIDA D.</v>
          </cell>
        </row>
        <row r="946">
          <cell r="B946" t="str">
            <v>SUB CENTRO CONTROL TELEMEDIDA G.</v>
          </cell>
        </row>
        <row r="947">
          <cell r="B947" t="str">
            <v>CENTRO DE ACTIVIDAD NO EXISTE!!!</v>
          </cell>
        </row>
        <row r="948">
          <cell r="B948" t="str">
            <v>INGENIERIA TELEMEDIDA</v>
          </cell>
        </row>
        <row r="949">
          <cell r="B949" t="str">
            <v>OBRAS CIVILES SIST. TELEMEDIDA DISTRIB</v>
          </cell>
        </row>
        <row r="950">
          <cell r="B950" t="str">
            <v>OBRAS CIVILES SIST. TELEMEDIDA GENERACION</v>
          </cell>
        </row>
        <row r="951">
          <cell r="B951" t="str">
            <v>CENTRO DE ACTIVIDAD NO EXISTE!!!</v>
          </cell>
        </row>
        <row r="952">
          <cell r="B952" t="str">
            <v>CONSULTORIA TELEMEDIDA DISTRIBUCION</v>
          </cell>
        </row>
        <row r="953">
          <cell r="B953" t="str">
            <v>CONSULTORIA TELEMEDIDA GENERACION</v>
          </cell>
        </row>
        <row r="954">
          <cell r="B954" t="str">
            <v>CENTRO DE ACTIVIDAD NO EXISTE!!!</v>
          </cell>
        </row>
        <row r="955">
          <cell r="B955" t="str">
            <v>ANT REDUCCION PERDIDAS FUTURO</v>
          </cell>
        </row>
        <row r="956">
          <cell r="B956" t="str">
            <v>CENTRO DE ACTIVIDAD NO EXISTE!!!</v>
          </cell>
        </row>
        <row r="957">
          <cell r="B957" t="str">
            <v>GASTOS FCIEROS. P.R.P.F.</v>
          </cell>
        </row>
        <row r="958">
          <cell r="B958" t="str">
            <v>CENTRO DE ACTIVIDAD NO EXISTE!!!</v>
          </cell>
        </row>
        <row r="959">
          <cell r="B959" t="str">
            <v>AJ POR INFL PL RED PERD FUT</v>
          </cell>
        </row>
        <row r="960">
          <cell r="B960" t="str">
            <v>CONTR. PRESTACION SERVICIOS REDES</v>
          </cell>
        </row>
        <row r="961">
          <cell r="B961" t="str">
            <v>CENTRO DE ACTIVIDAD NO EXISTE!!!</v>
          </cell>
        </row>
        <row r="962">
          <cell r="B962" t="str">
            <v>OBRA PUBLICA ZONA NORTE</v>
          </cell>
        </row>
        <row r="963">
          <cell r="B963" t="str">
            <v>OBRA PUBLICA ZONA SUR</v>
          </cell>
        </row>
        <row r="964">
          <cell r="B964" t="str">
            <v>CONTRATOS REPARACION DANOS</v>
          </cell>
        </row>
        <row r="965">
          <cell r="B965" t="str">
            <v>OBRA PUBLICA ZONA SUR ALUMBRADO PUBLICO</v>
          </cell>
        </row>
        <row r="966">
          <cell r="B966" t="str">
            <v>CONTRATOS MANTENIMIENTO</v>
          </cell>
        </row>
        <row r="967">
          <cell r="B967" t="str">
            <v>CLIENTES ALUMBRADO PUBLICO</v>
          </cell>
        </row>
        <row r="968">
          <cell r="B968" t="str">
            <v>ATENCION CLIENTE MMTO. PREVENTIVO RURAL</v>
          </cell>
        </row>
        <row r="969">
          <cell r="B969" t="str">
            <v>CONTRATO REDES SUBTERRANEAS</v>
          </cell>
        </row>
        <row r="970">
          <cell r="B970" t="str">
            <v>SERVICIOS EXTERNOS NORTE</v>
          </cell>
        </row>
        <row r="971">
          <cell r="B971" t="str">
            <v>SERVICIOS EXTERNOS SUR</v>
          </cell>
        </row>
        <row r="972">
          <cell r="B972" t="str">
            <v>SERVICIOS EXTERNOS CENTRO</v>
          </cell>
        </row>
        <row r="973">
          <cell r="B973" t="str">
            <v>CENTRO DE ACTIVIDAD NO EXISTE!!!</v>
          </cell>
        </row>
        <row r="974">
          <cell r="B974" t="str">
            <v>PORTAFOLIO SERV. UN. CONTROLES Y PROTEC.</v>
          </cell>
        </row>
        <row r="975">
          <cell r="B975" t="str">
            <v>PORTAFOLIO SERVICIOS DEPTO. MTTO. SUBES.</v>
          </cell>
        </row>
        <row r="976">
          <cell r="B976" t="str">
            <v>PORTAFOLIO SERVICIOS DEPTO MTTO. EQUIPOS</v>
          </cell>
        </row>
        <row r="977">
          <cell r="B977" t="str">
            <v>PORTAFOLIO SERVICIOS EQUIPOS DE MEDIDA</v>
          </cell>
        </row>
        <row r="978">
          <cell r="B978" t="str">
            <v>PORTAFOLIO SERVICIOS LINEA PREFERENCIAL</v>
          </cell>
        </row>
        <row r="979">
          <cell r="B979" t="str">
            <v>PORTAFOLIO SERVICIOS DIVISION MONTALES</v>
          </cell>
        </row>
        <row r="980">
          <cell r="B980" t="str">
            <v>CENTRO DE ACTIVIDAD NO EXISTE!!!</v>
          </cell>
        </row>
        <row r="981">
          <cell r="B981" t="str">
            <v>INTERVENTORIA DISTRIBUCION GAS</v>
          </cell>
        </row>
        <row r="982">
          <cell r="B982" t="str">
            <v>DISENO DISTRIB Y CONTROL GAS</v>
          </cell>
        </row>
        <row r="983">
          <cell r="B983" t="str">
            <v>CENTRO DE ACTIVIDAD NO EXISTE!!!</v>
          </cell>
        </row>
        <row r="984">
          <cell r="B984" t="str">
            <v>INGENIERIA PROYECTO GAS</v>
          </cell>
        </row>
        <row r="985">
          <cell r="B985" t="str">
            <v>CENTRO DE ACTIVIDAD NO EXISTE!!!</v>
          </cell>
        </row>
        <row r="986">
          <cell r="B986" t="str">
            <v>CENTRO CONTROL EQUIPOS</v>
          </cell>
        </row>
        <row r="987">
          <cell r="B987" t="str">
            <v>TUBERIA CENTRAL ACERO ACCESOR</v>
          </cell>
        </row>
        <row r="988">
          <cell r="B988" t="str">
            <v>ESTACION EQUIPOS</v>
          </cell>
        </row>
        <row r="989">
          <cell r="B989" t="str">
            <v>CENTRO DE ACTIVIDAD NO EXISTE!!!</v>
          </cell>
        </row>
        <row r="990">
          <cell r="B990" t="str">
            <v>REDES DISTRIBUCION MEDIA PRESION</v>
          </cell>
        </row>
        <row r="991">
          <cell r="B991" t="str">
            <v>CENTRO DE ACTIVIDAD NO EXISTE!!!</v>
          </cell>
        </row>
        <row r="992">
          <cell r="B992" t="str">
            <v>OBRA CIVIL CENTRO DE CONTROL</v>
          </cell>
        </row>
        <row r="993">
          <cell r="B993" t="str">
            <v>OBRA CIVIL ESTAC TERMINALES</v>
          </cell>
        </row>
        <row r="994">
          <cell r="B994" t="str">
            <v>OBRA CIVIL TUBERIA CENTRAL ACERO</v>
          </cell>
        </row>
        <row r="995">
          <cell r="B995" t="str">
            <v>CENTRO DE ACTIVIDAD NO EXISTE!!!</v>
          </cell>
        </row>
        <row r="996">
          <cell r="B996" t="str">
            <v>REDES PLAN PILOTO GAS HV</v>
          </cell>
        </row>
        <row r="997">
          <cell r="B997" t="str">
            <v>MEDIDORES GAS</v>
          </cell>
        </row>
        <row r="998">
          <cell r="B998" t="str">
            <v>CENTRO DE ACTIVIDAD NO EXISTE!!!</v>
          </cell>
        </row>
        <row r="999">
          <cell r="B999" t="str">
            <v>DESPACHO CUADRILLAS GAS</v>
          </cell>
        </row>
        <row r="1000">
          <cell r="B1000" t="str">
            <v>CENTRO DE ACTIVIDAD NO EXISTE!!!</v>
          </cell>
        </row>
        <row r="1001">
          <cell r="B1001" t="str">
            <v>MASIFICACION GAS</v>
          </cell>
        </row>
        <row r="1002">
          <cell r="B1002" t="str">
            <v>CENTRO DE ACTIVIDAD NO EXISTE!!!</v>
          </cell>
        </row>
        <row r="1003">
          <cell r="B1003" t="str">
            <v>ANTICIPOS PROYECTO GAS</v>
          </cell>
        </row>
        <row r="1004">
          <cell r="B1004" t="str">
            <v>GASTOS FROS FONADE GAS</v>
          </cell>
        </row>
        <row r="1005">
          <cell r="B1005" t="str">
            <v>GASTOS FINANANCIEROS GAS EXIMBANK.</v>
          </cell>
        </row>
        <row r="1006">
          <cell r="B1006" t="str">
            <v>GASTOS FINANCIEROS CITIBANK-GAS</v>
          </cell>
        </row>
        <row r="1007">
          <cell r="B1007" t="str">
            <v>CENTRO DE ACTIVIDAD NO EXISTE!!!</v>
          </cell>
        </row>
        <row r="1008">
          <cell r="B1008" t="str">
            <v>AJ POR INFL PROYECTO GAS</v>
          </cell>
        </row>
        <row r="1009">
          <cell r="B1009" t="str">
            <v>AJUSTES POR DIFERENCIA EN CAMBIO</v>
          </cell>
        </row>
        <row r="1010">
          <cell r="B1010" t="str">
            <v>CENTRO DE ACTIVIDAD NO EXISTE!!!</v>
          </cell>
        </row>
        <row r="1011">
          <cell r="B1011" t="str">
            <v>SUB EL SAALTO 220 KV O. C. EXPANSION</v>
          </cell>
        </row>
        <row r="1012">
          <cell r="B1012" t="str">
            <v>SUB BELLO 220 KV O. C. EXPANSION</v>
          </cell>
        </row>
        <row r="1013">
          <cell r="B1013" t="str">
            <v>SUB BARBOSA 220 KV O. C. AMPLIACION</v>
          </cell>
        </row>
        <row r="1014">
          <cell r="B1014" t="str">
            <v>SUB GUADALUPE IV 220 KV O. C. AMPLIAC.</v>
          </cell>
        </row>
        <row r="1015">
          <cell r="B1015" t="str">
            <v>SUB COLOMBIA 110 KV O.C. AMPLIAC</v>
          </cell>
        </row>
        <row r="1016">
          <cell r="B1016" t="str">
            <v>SUB GIRARDOTA 110 KV O.C. AMPLIAC.</v>
          </cell>
        </row>
        <row r="1017">
          <cell r="B1017" t="str">
            <v>SUB. MALENA 220KV OC RECONFIG.</v>
          </cell>
        </row>
        <row r="1018">
          <cell r="B1018" t="str">
            <v>SUB. MALENA 220KV RECONFIG.</v>
          </cell>
        </row>
        <row r="1019">
          <cell r="B1019" t="str">
            <v>CENTRO DE ACTIVIDAD NO EXISTE!!!</v>
          </cell>
        </row>
        <row r="1020">
          <cell r="B1020" t="str">
            <v>EMPALME BELLO P.BLANCAS VILLA HERMOSA</v>
          </cell>
        </row>
        <row r="1021">
          <cell r="B1021" t="str">
            <v>EMPALME RIOGRANDE GIRARDOTA PL BIENAL</v>
          </cell>
        </row>
        <row r="1022">
          <cell r="B1022" t="str">
            <v>EMPALME OCC COLOMBIA P. BLANCAS</v>
          </cell>
        </row>
        <row r="1023">
          <cell r="B1023" t="str">
            <v>LIN EL SALTO BARBOSA C.T. 220 KV</v>
          </cell>
        </row>
        <row r="1024">
          <cell r="B1024" t="str">
            <v>LINEA TASAJERA BELLO 220 KV</v>
          </cell>
        </row>
        <row r="1025">
          <cell r="B1025" t="str">
            <v>CENTRO DE ACTIVIDAD NO EXISTE!!!</v>
          </cell>
        </row>
        <row r="1026">
          <cell r="B1026" t="str">
            <v>LINEA EL SALTO-YARUMAL I Y II</v>
          </cell>
        </row>
        <row r="1027">
          <cell r="B1027" t="str">
            <v>CENTRO DE ACTIVIDAD NO EXISTE!!!</v>
          </cell>
        </row>
        <row r="1028">
          <cell r="B1028" t="str">
            <v>LINEA GUADALUPE IV-SALTO III REPLANTEO</v>
          </cell>
        </row>
        <row r="1029">
          <cell r="B1029" t="str">
            <v>ING.EXP,TRANS,TRANSF 91-2000</v>
          </cell>
        </row>
        <row r="1030">
          <cell r="B1030" t="str">
            <v>CENTRO DE ACTIVIDAD NO EXISTE!!!</v>
          </cell>
        </row>
        <row r="1031">
          <cell r="B1031" t="str">
            <v>GASTOS FCIEROS EXP,TRAS,TRANSF</v>
          </cell>
        </row>
        <row r="1032">
          <cell r="B1032" t="str">
            <v>CENTRO DE ACTIVIDAD NO EXISTE!!!</v>
          </cell>
        </row>
        <row r="1033">
          <cell r="B1033" t="str">
            <v>SUB EL SALTO 220 KV EXPANSION</v>
          </cell>
        </row>
        <row r="1034">
          <cell r="B1034" t="str">
            <v>SUB BELLO 220 KV EXPANSION</v>
          </cell>
        </row>
        <row r="1035">
          <cell r="B1035" t="str">
            <v>SUB BARBOSA 220 KV AMPLIACION</v>
          </cell>
        </row>
        <row r="1036">
          <cell r="B1036" t="str">
            <v>SUB GUADALUPE IV 220 KV AMPLIACION</v>
          </cell>
        </row>
        <row r="1037">
          <cell r="B1037" t="str">
            <v>SUB COLOMBIA 110 KV AMPLIACION</v>
          </cell>
        </row>
        <row r="1038">
          <cell r="B1038" t="str">
            <v>SUB GIRARDOTA 110 KV AMPLIACION</v>
          </cell>
        </row>
        <row r="1039">
          <cell r="B1039" t="str">
            <v>SUB REP/RESP PARARRAYOS</v>
          </cell>
        </row>
        <row r="1040">
          <cell r="B1040" t="str">
            <v>SUB REP/RESP TRANSFORMAD MEDIDA</v>
          </cell>
        </row>
        <row r="1041">
          <cell r="B1041" t="str">
            <v>SUB REP/RESP TRANSFORMAD POTENCIA</v>
          </cell>
        </row>
        <row r="1042">
          <cell r="B1042" t="str">
            <v>SUB REP/RESP INTERRUPT. SECCIONAD.</v>
          </cell>
        </row>
        <row r="1043">
          <cell r="B1043" t="str">
            <v>SUB REP/RESP VARIOS</v>
          </cell>
        </row>
        <row r="1044">
          <cell r="B1044" t="str">
            <v>SUB REFUERZOS PROTECC. VARIOS</v>
          </cell>
        </row>
        <row r="1045">
          <cell r="B1045" t="str">
            <v>SUB RESPALDO MICROONDAS FIBRA OPTICA</v>
          </cell>
        </row>
        <row r="1046">
          <cell r="B1046" t="str">
            <v>SUB RESPALDO CENETRO DE CONTROL</v>
          </cell>
        </row>
        <row r="1047">
          <cell r="B1047" t="str">
            <v>SUB SISTEMA ANTINCENDIO</v>
          </cell>
        </row>
        <row r="1048">
          <cell r="B1048" t="str">
            <v>OBRAS VARIAS DE TRANSMISION</v>
          </cell>
        </row>
        <row r="1049">
          <cell r="B1049" t="str">
            <v>S/E BELEN BANCO COMPENSACION REACTIVA</v>
          </cell>
        </row>
        <row r="1050">
          <cell r="B1050" t="str">
            <v>S/E MALENA REMODELACION Y AMPLIACION</v>
          </cell>
        </row>
        <row r="1051">
          <cell r="B1051" t="str">
            <v>CENTRO DE ACTIVIDAD NO EXISTE!!!</v>
          </cell>
        </row>
        <row r="1052">
          <cell r="B1052" t="str">
            <v>AJUSTE PRESTAMO</v>
          </cell>
        </row>
        <row r="1053">
          <cell r="B1053" t="str">
            <v>GASTOS FINANCIEROS</v>
          </cell>
        </row>
        <row r="1054">
          <cell r="B1054" t="str">
            <v>AJ POR INFL TRANS Y TRANSF FUTURO</v>
          </cell>
        </row>
        <row r="1055">
          <cell r="B1055" t="str">
            <v>ANTICIPOS TRANSM Y TRANSF FUTURO</v>
          </cell>
        </row>
        <row r="1056">
          <cell r="B1056" t="str">
            <v>CENTRO DE ACTIVIDAD NO EXISTE!!!</v>
          </cell>
        </row>
        <row r="1057">
          <cell r="B1057" t="str">
            <v>ANTICIPOS PLAYAS</v>
          </cell>
        </row>
        <row r="1058">
          <cell r="B1058" t="str">
            <v>CENTRO DE ACTIVIDAD NO EXISTE!!!</v>
          </cell>
        </row>
        <row r="1059">
          <cell r="B1059" t="str">
            <v>DISENOS PORCE II</v>
          </cell>
        </row>
        <row r="1060">
          <cell r="B1060" t="str">
            <v>ESTUDIOS AMBIENTALES PORCE II</v>
          </cell>
        </row>
        <row r="1061">
          <cell r="B1061" t="str">
            <v>INTERVENTORIA PORCE II</v>
          </cell>
        </row>
        <row r="1062">
          <cell r="B1062" t="str">
            <v>CENTRO DE ACTIVIDAD NO EXISTE!!!</v>
          </cell>
        </row>
        <row r="1063">
          <cell r="B1063" t="str">
            <v>ASESORES PORCE II</v>
          </cell>
        </row>
        <row r="1064">
          <cell r="B1064" t="str">
            <v>TIERRAS Y SERVIDUMBRES PORCE II</v>
          </cell>
        </row>
        <row r="1065">
          <cell r="B1065" t="str">
            <v>INGENIERIA Y ADMON. PORCE II</v>
          </cell>
        </row>
        <row r="1066">
          <cell r="B1066" t="str">
            <v>DISENOS TRANSM ASOCIADA PORCE II</v>
          </cell>
        </row>
        <row r="1067">
          <cell r="B1067" t="str">
            <v>PROGRAMA CAPACITACION BID PORCE</v>
          </cell>
        </row>
        <row r="1068">
          <cell r="B1068" t="str">
            <v>INFRAEST CAMPAMENTOS PORCE II</v>
          </cell>
        </row>
        <row r="1069">
          <cell r="B1069" t="str">
            <v>CENTRO DE ACTIVIDAD NO EXISTE!!!</v>
          </cell>
        </row>
        <row r="1070">
          <cell r="B1070" t="str">
            <v>INFRAEST CARRET DE ACC PORCE II</v>
          </cell>
        </row>
        <row r="1071">
          <cell r="B1071" t="str">
            <v>CENTRO DE ACTIVIDAD NO EXISTE!!!</v>
          </cell>
        </row>
        <row r="1072">
          <cell r="B1072" t="str">
            <v>PRESA Y VERT PORCE II</v>
          </cell>
        </row>
        <row r="1073">
          <cell r="B1073" t="str">
            <v>CENTRO DE ACTIVIDAD NO EXISTE!!!</v>
          </cell>
        </row>
        <row r="1074">
          <cell r="B1074" t="str">
            <v>OBRAS SUBTERRANEAS PORCE II</v>
          </cell>
        </row>
        <row r="1075">
          <cell r="B1075" t="str">
            <v>CENTRO DE ACTIVIDAD NO EXISTE!!!</v>
          </cell>
        </row>
        <row r="1076">
          <cell r="B1076" t="str">
            <v>SUBESTACION PORCE II</v>
          </cell>
        </row>
        <row r="1077">
          <cell r="B1077" t="str">
            <v>CENTRO DE ACTIVIDAD NO EXISTE!!!</v>
          </cell>
        </row>
        <row r="1078">
          <cell r="B1078" t="str">
            <v>LINEAS DE TRANSMISION PORCE II</v>
          </cell>
        </row>
        <row r="1079">
          <cell r="B1079" t="str">
            <v>CENTRO DE ACTIVIDAD NO EXISTE!!!</v>
          </cell>
        </row>
        <row r="1080">
          <cell r="B1080" t="str">
            <v>OBRAS SUSTITUTIVAS PORCE II</v>
          </cell>
        </row>
        <row r="1081">
          <cell r="B1081" t="str">
            <v>CENTRO DE ACTIVIDAD NO EXISTE!!!</v>
          </cell>
        </row>
        <row r="1082">
          <cell r="B1082" t="str">
            <v>OB PROTECC MEDIO AMB PORCE II</v>
          </cell>
        </row>
        <row r="1083">
          <cell r="B1083" t="str">
            <v>CENTRO DE ACTIVIDAD NO EXISTE!!!</v>
          </cell>
        </row>
        <row r="1084">
          <cell r="B1084" t="str">
            <v>EQUIPOS INFRAESTRUCTURA PORCE II</v>
          </cell>
        </row>
        <row r="1085">
          <cell r="B1085" t="str">
            <v>TURBINAS Y ASOCIADOS PORCE II</v>
          </cell>
        </row>
        <row r="1086">
          <cell r="B1086" t="str">
            <v>COMPUERTAS PORCE II</v>
          </cell>
        </row>
        <row r="1087">
          <cell r="B1087" t="str">
            <v>GENERADORES Y ASOCIADOS PORCE II</v>
          </cell>
        </row>
        <row r="1088">
          <cell r="B1088" t="str">
            <v>CENTRO DE ACTIVIDAD NO EXISTE!!!</v>
          </cell>
        </row>
        <row r="1089">
          <cell r="B1089" t="str">
            <v>TRANSFORMADORES PORCE II</v>
          </cell>
        </row>
        <row r="1090">
          <cell r="B1090" t="str">
            <v>CENTRO DE ACTIVIDAD NO EXISTE!!!</v>
          </cell>
        </row>
        <row r="1091">
          <cell r="B1091" t="str">
            <v>BLIND TUNEL Y DISTRIBUID PORC II</v>
          </cell>
        </row>
        <row r="1092">
          <cell r="B1092" t="str">
            <v>CENTRO DE ACTIVIDAD NO EXISTE!!!</v>
          </cell>
        </row>
        <row r="1093">
          <cell r="B1093" t="str">
            <v>EQUIP SECUNDARIOS ELECT PORCE II</v>
          </cell>
        </row>
        <row r="1094">
          <cell r="B1094" t="str">
            <v>EQUIPOS SECUND MECAN PORCE II</v>
          </cell>
        </row>
        <row r="1095">
          <cell r="B1095" t="str">
            <v>EQUIPOS SUBESTACION PORCE II</v>
          </cell>
        </row>
        <row r="1096">
          <cell r="B1096" t="str">
            <v>CENTRO DE ACTIVIDAD NO EXISTE!!!</v>
          </cell>
        </row>
        <row r="1097">
          <cell r="B1097" t="str">
            <v>EQ LINEAS TRANSMISION PORCE II</v>
          </cell>
        </row>
        <row r="1098">
          <cell r="B1098" t="str">
            <v>CENTRO DE ACTIVIDAD NO EXISTE!!!</v>
          </cell>
        </row>
        <row r="1099">
          <cell r="B1099" t="str">
            <v>INVERSION DE MERCADO NO REGULADO Y P.</v>
          </cell>
        </row>
        <row r="1100">
          <cell r="B1100" t="str">
            <v>EQUIPOS DE CONTROL PORCE II</v>
          </cell>
        </row>
        <row r="1101">
          <cell r="B1101" t="str">
            <v>PROG REDUCC PERD Y USO RAC ENE</v>
          </cell>
        </row>
        <row r="1102">
          <cell r="B1102" t="str">
            <v>CENTRO DE ACTIVIDAD NO EXISTE!!!</v>
          </cell>
        </row>
        <row r="1103">
          <cell r="B1103" t="str">
            <v>ANTICIPOS PORCE II</v>
          </cell>
        </row>
        <row r="1104">
          <cell r="B1104" t="str">
            <v>PTMO FONADE PORCE II</v>
          </cell>
        </row>
        <row r="1105">
          <cell r="B1105" t="str">
            <v>PRESTAMO BID PORCE II</v>
          </cell>
        </row>
        <row r="1106">
          <cell r="B1106" t="str">
            <v>PRESTAMO BID PORCE DISTRIBUCION</v>
          </cell>
        </row>
        <row r="1107">
          <cell r="B1107" t="str">
            <v>CENTRO DE ACTIVIDAD NO EXISTE!!!</v>
          </cell>
        </row>
        <row r="1108">
          <cell r="B1108" t="str">
            <v>ANTICIPOS PORCE II TRANSMISION</v>
          </cell>
        </row>
        <row r="1109">
          <cell r="B1109" t="str">
            <v>CENTRO DE ACTIVIDAD NO EXISTE!!!</v>
          </cell>
        </row>
        <row r="1110">
          <cell r="B1110" t="str">
            <v>AJUSTE PRESTAMO BID PORCE II</v>
          </cell>
        </row>
        <row r="1111">
          <cell r="B1111" t="str">
            <v>AJUSTE PRESTAMO BID-PORCE II-DISTRIB.</v>
          </cell>
        </row>
        <row r="1112">
          <cell r="B1112" t="str">
            <v>CENTRO DE ACTIVIDAD NO EXISTE!!!</v>
          </cell>
        </row>
        <row r="1113">
          <cell r="B1113" t="str">
            <v>ESTUDIOS EXP TRANSM DISTRIBUCION</v>
          </cell>
        </row>
        <row r="1114">
          <cell r="B1114" t="str">
            <v>CENTRO DE ACTIVIDAD NO EXISTE!!!</v>
          </cell>
        </row>
        <row r="1115">
          <cell r="B1115" t="str">
            <v>SUBESTACION PIEDRAS BLANCAS EQUIPOS</v>
          </cell>
        </row>
        <row r="1116">
          <cell r="B1116" t="str">
            <v>CENTRO DE ACTIVIDAD NO EXISTE!!!</v>
          </cell>
        </row>
        <row r="1117">
          <cell r="B1117" t="str">
            <v>SUBESTACION GIRARDOTA EQUIPOS</v>
          </cell>
        </row>
        <row r="1118">
          <cell r="B1118" t="str">
            <v>CENTRO DE ACTIVIDAD NO EXISTE!!!</v>
          </cell>
        </row>
        <row r="1119">
          <cell r="B1119" t="str">
            <v>ING PLAN REDUCC PERDIDA</v>
          </cell>
        </row>
        <row r="1120">
          <cell r="B1120" t="str">
            <v>CENTRO DE ACTIVIDAD NO EXISTE!!!</v>
          </cell>
        </row>
        <row r="1121">
          <cell r="B1121" t="str">
            <v>SUBESTACIÓN MALENA EQUIPOS</v>
          </cell>
        </row>
        <row r="1122">
          <cell r="B1122" t="str">
            <v>CENTRO DE ACTIVIDAD NO EXISTE!!!</v>
          </cell>
        </row>
        <row r="1123">
          <cell r="B1123" t="str">
            <v>ANTICIPOS EXP TRANSMISION Y DISTRIBUCION</v>
          </cell>
        </row>
        <row r="1124">
          <cell r="B1124" t="str">
            <v>SUBESTACION CALDAS EQUIPOS</v>
          </cell>
        </row>
        <row r="1125">
          <cell r="B1125" t="str">
            <v>CENTRO DE ACTIVIDAD NO EXISTE!!!</v>
          </cell>
        </row>
        <row r="1126">
          <cell r="B1126" t="str">
            <v>ANT REDUCCION PERDIDAS</v>
          </cell>
        </row>
        <row r="1127">
          <cell r="B1127" t="str">
            <v>CENTRO DE ACTIVIDAD NO EXISTE!!!</v>
          </cell>
        </row>
        <row r="1128">
          <cell r="B1128" t="str">
            <v>PRESTAMO FEN-EXIMBANK TRANS Y DISTRIBUC.</v>
          </cell>
        </row>
        <row r="1129">
          <cell r="B1129" t="str">
            <v>CENTRO DE ACTIVIDAD NO EXISTE!!!</v>
          </cell>
        </row>
        <row r="1130">
          <cell r="B1130" t="str">
            <v>AJUSTE PTMO EXIMBANK TRANS Y DISTRIBUCION</v>
          </cell>
        </row>
        <row r="1131">
          <cell r="B1131" t="str">
            <v>AJ POR INFL REDUCCION PERDIDAS</v>
          </cell>
        </row>
        <row r="1132">
          <cell r="B1132" t="str">
            <v>AJ POR INFL PLAN EXP SUBT Y DISTRIBUCION</v>
          </cell>
        </row>
        <row r="1133">
          <cell r="B1133" t="str">
            <v>CENTRO DE ACTIVIDAD NO EXISTE!!!</v>
          </cell>
        </row>
        <row r="1134">
          <cell r="B1134" t="str">
            <v>INGENIERIA Y ADMON TERMICA</v>
          </cell>
        </row>
        <row r="1135">
          <cell r="B1135" t="str">
            <v>INTERVENTORIA TERMICA</v>
          </cell>
        </row>
        <row r="1136">
          <cell r="B1136" t="str">
            <v>CENTRO DE ACTIVIDAD NO EXISTE!!!</v>
          </cell>
        </row>
        <row r="1137">
          <cell r="B1137" t="str">
            <v>ESTUDIOS Y OBRAS CIVILES TERMICA</v>
          </cell>
        </row>
        <row r="1138">
          <cell r="B1138" t="str">
            <v>INGENIERÍA TÉRMICA LA SIERRA</v>
          </cell>
        </row>
        <row r="1139">
          <cell r="B1139" t="str">
            <v>EQUIPOS COMUNICACIONES TERMICA</v>
          </cell>
        </row>
        <row r="1140">
          <cell r="B1140" t="str">
            <v>CENTRO DE ACTIVIDAD NO EXISTE!!!</v>
          </cell>
        </row>
        <row r="1141">
          <cell r="B1141" t="str">
            <v>CONTRATO LLAVE EN MANO TS</v>
          </cell>
        </row>
        <row r="1142">
          <cell r="B1142" t="str">
            <v>TRANSPORTES Y COMBUSTIBLES TERMICA</v>
          </cell>
        </row>
        <row r="1143">
          <cell r="B1143" t="str">
            <v>COMPRA DE TIERRAS TERMICA</v>
          </cell>
        </row>
        <row r="1144">
          <cell r="B1144" t="str">
            <v>CENTRO DE ACTIVIDAD NO EXISTE!!!</v>
          </cell>
        </row>
        <row r="1145">
          <cell r="B1145" t="str">
            <v>AJUSTE DIF. EN CAMBIO TERMICA LA SIERRA</v>
          </cell>
        </row>
        <row r="1146">
          <cell r="B1146" t="str">
            <v>GASTOS FINANCIEROS TERMICA</v>
          </cell>
        </row>
        <row r="1147">
          <cell r="B1147" t="str">
            <v>ANTICIPOS TERMICA</v>
          </cell>
        </row>
        <row r="1148">
          <cell r="B1148" t="str">
            <v>CENTRO DE ACTIVIDAD NO EXISTE!!!</v>
          </cell>
        </row>
        <row r="1149">
          <cell r="B1149" t="str">
            <v>ANTICIPOS NECHI</v>
          </cell>
        </row>
        <row r="1150">
          <cell r="B1150" t="str">
            <v>TERMOELECTRICA LA SIERRA - CICLO COMBIN.</v>
          </cell>
        </row>
        <row r="1151">
          <cell r="B1151" t="str">
            <v>ESTUDIOS CICLO COMBINADO LA SIERRA</v>
          </cell>
        </row>
        <row r="1152">
          <cell r="B1152" t="str">
            <v>OBRAS CIVILES CICLO COMBINADO T.SIERRA</v>
          </cell>
        </row>
        <row r="1153">
          <cell r="B1153" t="str">
            <v>INTERVENTORIA OBRAS C.Y MONTAJE T.SIERRA</v>
          </cell>
        </row>
        <row r="1154">
          <cell r="B1154" t="str">
            <v>CENTRO DE ACTIVIDAD NO EXISTE!!!</v>
          </cell>
        </row>
        <row r="1155">
          <cell r="B1155" t="str">
            <v>DISEÑOS NECHI</v>
          </cell>
        </row>
        <row r="1156">
          <cell r="B1156" t="str">
            <v>INGENIERIA NECHI</v>
          </cell>
        </row>
        <row r="1157">
          <cell r="B1157" t="str">
            <v>TIERRAS Y SERVIDUMBRES NECHI</v>
          </cell>
        </row>
        <row r="1158">
          <cell r="B1158" t="str">
            <v>CENTRO DE ACTIVIDAD NO EXISTE!!!</v>
          </cell>
        </row>
        <row r="1159">
          <cell r="B1159" t="str">
            <v>AJUSTES POR INFL RIOG II</v>
          </cell>
        </row>
        <row r="1160">
          <cell r="B1160" t="str">
            <v>CENTRO DE ACTIVIDAD NO EXISTE!!!</v>
          </cell>
        </row>
        <row r="1161">
          <cell r="B1161" t="str">
            <v>AJUSTES POR INFLACION NECHI</v>
          </cell>
        </row>
        <row r="1162">
          <cell r="B1162" t="str">
            <v>CENTRO DE ACTIVIDAD NO EXISTE!!!</v>
          </cell>
        </row>
        <row r="1163">
          <cell r="B1163" t="str">
            <v>TRAB PART EN DIV CONSERV CONTROL</v>
          </cell>
        </row>
        <row r="1164">
          <cell r="B1164" t="str">
            <v>CENTRO DE ACTIVIDAD NO EXISTE!!!</v>
          </cell>
        </row>
        <row r="1165">
          <cell r="B1165" t="str">
            <v>DIS MIRAFLORES Y TRONERAS</v>
          </cell>
        </row>
        <row r="1166">
          <cell r="B1166" t="str">
            <v>CENTRO DE ACTIVIDAD NO EXISTE!!!</v>
          </cell>
        </row>
        <row r="1167">
          <cell r="B1167" t="str">
            <v>SISTEMAS INFORM. GEREN. DISTRIB. ENERGIA</v>
          </cell>
        </row>
        <row r="1168">
          <cell r="B1168" t="str">
            <v>ALUMBRADO PUBLICO</v>
          </cell>
        </row>
        <row r="1169">
          <cell r="B1169" t="str">
            <v>EST REDISENO TRONERAS</v>
          </cell>
        </row>
        <row r="1170">
          <cell r="B1170" t="str">
            <v>PLANEAMIENTO OPERATIVO ENERGIA</v>
          </cell>
        </row>
        <row r="1171">
          <cell r="B1171" t="str">
            <v>AJ POR INFL GEN Y REP EQUIPOS</v>
          </cell>
        </row>
        <row r="1172">
          <cell r="B1172" t="str">
            <v>CENTRO DE ACTIVIDAD NO EXISTE!!!</v>
          </cell>
        </row>
        <row r="1173">
          <cell r="B1173" t="str">
            <v>SISTEMA DE REFRIGERACIÓN GUATAPÉ O.C.</v>
          </cell>
        </row>
        <row r="1174">
          <cell r="B1174" t="str">
            <v>CENTRO DE ACTIVIDAD NO EXISTE!!!</v>
          </cell>
        </row>
        <row r="1175">
          <cell r="B1175" t="str">
            <v>MODELO EXPANSION GENERACION</v>
          </cell>
        </row>
        <row r="1176">
          <cell r="B1176" t="str">
            <v>CENTRO DE ACTIVIDAD NO EXISTE!!!</v>
          </cell>
        </row>
        <row r="1177">
          <cell r="B1177" t="str">
            <v>MODERNIZACION GUATAPE</v>
          </cell>
        </row>
        <row r="1178">
          <cell r="B1178" t="str">
            <v>PARTICION Y EXPANSION PARRILLA</v>
          </cell>
        </row>
        <row r="1179">
          <cell r="B1179" t="str">
            <v>MTTO PREVENTIVO RURAL</v>
          </cell>
        </row>
        <row r="1180">
          <cell r="B1180" t="str">
            <v>CENTRO DE ACTIVIDAD NO EXISTE!!!</v>
          </cell>
        </row>
        <row r="1181">
          <cell r="B1181" t="str">
            <v>OB VARIAS PROD ENERG DIV TECNICA</v>
          </cell>
        </row>
        <row r="1182">
          <cell r="B1182" t="str">
            <v>OB VARIAS PRODUCC ENERG GTPE</v>
          </cell>
        </row>
        <row r="1183">
          <cell r="B1183" t="str">
            <v>CENTRO DE ACTIVIDAD NO EXISTE!!!</v>
          </cell>
        </row>
        <row r="1184">
          <cell r="B1184" t="str">
            <v>DISENO RIACHON</v>
          </cell>
        </row>
        <row r="1185">
          <cell r="B1185" t="str">
            <v>CENTRO DE ACTIVIDAD NO EXISTE!!!</v>
          </cell>
        </row>
        <row r="1186">
          <cell r="B1186" t="str">
            <v>REALCE VERTEDERO TENCHE</v>
          </cell>
        </row>
        <row r="1187">
          <cell r="B1187" t="str">
            <v>TRASLADO CENTRAL GUADALUPE</v>
          </cell>
        </row>
        <row r="1188">
          <cell r="B1188" t="str">
            <v>CONSULT. GUAD III,TRON, P.BLANC.</v>
          </cell>
        </row>
        <row r="1189">
          <cell r="B1189" t="str">
            <v>CENTRO DE ACTIVIDAD NO EXISTE!!!</v>
          </cell>
        </row>
        <row r="1190">
          <cell r="B1190" t="str">
            <v>OBRA CIVIL MINICENTRAL DOLORES</v>
          </cell>
        </row>
        <row r="1191">
          <cell r="B1191" t="str">
            <v>EQUIPOS MINICENTRAL DOLORES</v>
          </cell>
        </row>
        <row r="1192">
          <cell r="B1192" t="str">
            <v>CENTRO DE ACTIVIDAD NO EXISTE!!!</v>
          </cell>
        </row>
        <row r="1193">
          <cell r="B1193" t="str">
            <v>PLAN INFORMATICO GERENCIA GENER. ENERGIA</v>
          </cell>
        </row>
        <row r="1194">
          <cell r="B1194" t="str">
            <v>CENTRO DE ACTIVIDAD NO EXISTE!!!</v>
          </cell>
        </row>
        <row r="1195">
          <cell r="B1195" t="str">
            <v>CONSERVACIÓN CUENCAS</v>
          </cell>
        </row>
        <row r="1196">
          <cell r="B1196" t="str">
            <v>OBRAS MITIGACIÓN IMPACTOS AMBIENTALES</v>
          </cell>
        </row>
        <row r="1197">
          <cell r="B1197" t="str">
            <v>ESTACIONES HIDROMETEOROLÓGICAS</v>
          </cell>
        </row>
        <row r="1198">
          <cell r="B1198" t="str">
            <v>CENTRO DE ACTIVIDAD NO EXISTE!!!</v>
          </cell>
        </row>
        <row r="1199">
          <cell r="B1199" t="str">
            <v>CONTRATOS U. PLANEACION GENERACIÓN</v>
          </cell>
        </row>
        <row r="1200">
          <cell r="B1200" t="str">
            <v>CENTRO DE ACTIVIDAD NO EXISTE!!!</v>
          </cell>
        </row>
        <row r="1201">
          <cell r="B1201" t="str">
            <v>ANTICIPOS OTROS PROGRAMA GENERACIÓN</v>
          </cell>
        </row>
        <row r="1202">
          <cell r="B1202" t="str">
            <v>ANTICIPOS GENERAC Y REPOSIC EQ</v>
          </cell>
        </row>
        <row r="1203">
          <cell r="B1203" t="str">
            <v>CENTRO DE ACTIVIDAD NO EXISTE!!!</v>
          </cell>
        </row>
        <row r="1204">
          <cell r="B1204" t="str">
            <v>PMO FEN EXIMBANK OTROS PROGR</v>
          </cell>
        </row>
        <row r="1205">
          <cell r="B1205" t="str">
            <v>CENTRO DE ACTIVIDAD NO EXISTE!!!</v>
          </cell>
        </row>
        <row r="1206">
          <cell r="B1206" t="str">
            <v>AJ POR INFL GENER Y REPOSIC EQ</v>
          </cell>
        </row>
        <row r="1207">
          <cell r="B1207" t="str">
            <v>CENTRO DE ACTIVIDAD NO EXISTE!!!</v>
          </cell>
        </row>
        <row r="1208">
          <cell r="B1208" t="str">
            <v>AJTE PTMO EXIMBANK OTROS PROG</v>
          </cell>
        </row>
        <row r="1209">
          <cell r="B1209" t="str">
            <v>INGENIERIA OTROS PROGRAMAS</v>
          </cell>
        </row>
        <row r="1210">
          <cell r="B1210" t="str">
            <v>ANTICIPOS OTROS PROGRAMA DISTRIBUCION</v>
          </cell>
        </row>
        <row r="1211">
          <cell r="B1211" t="str">
            <v>CENTRO DE ACTIVIDAD NO EXISTE!!!</v>
          </cell>
        </row>
        <row r="1212">
          <cell r="B1212" t="str">
            <v>CAPACITACION GENERACIÓN ENERGIA</v>
          </cell>
        </row>
        <row r="1213">
          <cell r="B1213" t="str">
            <v>CAPACITACION DISTRIBUCION ENERGIA</v>
          </cell>
        </row>
        <row r="1214">
          <cell r="B1214" t="str">
            <v>CAPACITACIÓN COMERCIAL</v>
          </cell>
        </row>
        <row r="1215">
          <cell r="B1215" t="str">
            <v>ADECUACION TERRENO PARQUEADERO</v>
          </cell>
        </row>
        <row r="1216">
          <cell r="B1216" t="str">
            <v>EDIFICIO SEDE BOGOTA</v>
          </cell>
        </row>
        <row r="1217">
          <cell r="B1217" t="str">
            <v>CENTRO DE ACTIVIDAD NO EXISTE!!!</v>
          </cell>
        </row>
        <row r="1218">
          <cell r="B1218" t="str">
            <v>REMODELACION ED.MIGUEL DE AGUI</v>
          </cell>
        </row>
        <row r="1219">
          <cell r="B1219" t="str">
            <v>CENTRO DE ACTIVIDAD NO EXISTE!!!</v>
          </cell>
        </row>
        <row r="1220">
          <cell r="B1220" t="str">
            <v>OBRAS SEGURIDAD INSTALAC EPM</v>
          </cell>
        </row>
        <row r="1221">
          <cell r="B1221" t="str">
            <v>CENTRO DE ACTIVIDAD NO EXISTE!!!</v>
          </cell>
        </row>
        <row r="1222">
          <cell r="B1222" t="str">
            <v>PAVIMENTACION</v>
          </cell>
        </row>
        <row r="1223">
          <cell r="B1223" t="str">
            <v>CENTRO DE ACTIVIDAD NO EXISTE!!!</v>
          </cell>
        </row>
        <row r="1224">
          <cell r="B1224" t="str">
            <v>CONSTRUCC Y MTTO DESPACHO CUAD</v>
          </cell>
        </row>
        <row r="1225">
          <cell r="B1225" t="str">
            <v>CENTRO DE ACTIVIDAD NO EXISTE!!!</v>
          </cell>
        </row>
        <row r="1226">
          <cell r="B1226" t="str">
            <v>REMODELACION PALACIO</v>
          </cell>
        </row>
        <row r="1227">
          <cell r="B1227" t="str">
            <v>REFORMA DIV. COMERCIAL</v>
          </cell>
        </row>
        <row r="1228">
          <cell r="B1228" t="str">
            <v>OBRA CIVIL ADECUACION REFORMAS</v>
          </cell>
        </row>
        <row r="1229">
          <cell r="B1229" t="str">
            <v>ADECUACION OFIC ATENCION USUARIO</v>
          </cell>
        </row>
        <row r="1230">
          <cell r="B1230" t="str">
            <v>CENTRO DE ACTIVIDAD NO EXISTE!!!</v>
          </cell>
        </row>
        <row r="1231">
          <cell r="B1231" t="str">
            <v>FACHADA CENTRO DE CONTROL</v>
          </cell>
        </row>
        <row r="1232">
          <cell r="B1232" t="str">
            <v>CENTRO DE ACTIVIDAD NO EXISTE!!!</v>
          </cell>
        </row>
        <row r="1233">
          <cell r="B1233" t="str">
            <v>ANT PLAN MAEST DE INFORMATICA</v>
          </cell>
        </row>
        <row r="1234">
          <cell r="B1234" t="str">
            <v>CENTRO DE ACTIVIDAD NO EXISTE!!!</v>
          </cell>
        </row>
        <row r="1235">
          <cell r="B1235" t="str">
            <v>ADECUACIONES EDIFICIO EE.PP.M.</v>
          </cell>
        </row>
        <row r="1236">
          <cell r="B1236" t="str">
            <v>CENTRO DE ACTIVIDAD NO EXISTE!!!</v>
          </cell>
        </row>
        <row r="1237">
          <cell r="B1237" t="str">
            <v>CENTRO OPERACION MANTENIMIENTO COLOMBIA</v>
          </cell>
        </row>
        <row r="1238">
          <cell r="B1238" t="str">
            <v>VALORIZACION CORPORATIVA EEPPM</v>
          </cell>
        </row>
        <row r="1239">
          <cell r="B1239" t="str">
            <v>BODEGA ALMACEN GENERAL ZONA NORTE</v>
          </cell>
        </row>
        <row r="1240">
          <cell r="B1240" t="str">
            <v>OFICINA SUSCRIPTORES MPIO. BARBOSA</v>
          </cell>
        </row>
        <row r="1241">
          <cell r="B1241" t="str">
            <v>DESPACHO CUADRILLAS ZONA NORTE</v>
          </cell>
        </row>
        <row r="1242">
          <cell r="B1242" t="str">
            <v>CENTRO DE ACTIVIDAD NO EXISTE!!!</v>
          </cell>
        </row>
        <row r="1243">
          <cell r="B1243" t="str">
            <v>ESTUDIOS DE DEMANDA</v>
          </cell>
        </row>
        <row r="1244">
          <cell r="B1244" t="str">
            <v>CENTRO DE ACTIVIDAD NO EXISTE!!!</v>
          </cell>
        </row>
        <row r="1245">
          <cell r="B1245" t="str">
            <v>OBRAS CAROLINA Y GUATAPE</v>
          </cell>
        </row>
        <row r="1246">
          <cell r="B1246" t="str">
            <v>CENTRO DE ACTIVIDAD NO EXISTE!!!</v>
          </cell>
        </row>
        <row r="1247">
          <cell r="B1247" t="str">
            <v>ADECUACION DESPACHOS ENER Y SUSC</v>
          </cell>
        </row>
        <row r="1248">
          <cell r="B1248" t="str">
            <v>PARQUE RECREACIONAL PIEDRAS BLAN</v>
          </cell>
        </row>
        <row r="1249">
          <cell r="B1249" t="str">
            <v>CENTRO DE ACTIVIDAD NO EXISTE!!!</v>
          </cell>
        </row>
        <row r="1250">
          <cell r="B1250" t="str">
            <v>AJ POR INFL PLANTA GENERAL</v>
          </cell>
        </row>
        <row r="1251">
          <cell r="B1251" t="str">
            <v>AJ POR INFL PLANTA GENERAL</v>
          </cell>
        </row>
        <row r="1252">
          <cell r="B1252" t="str">
            <v>AJ X INFL PTA GENERAL</v>
          </cell>
        </row>
        <row r="1253">
          <cell r="B1253" t="str">
            <v>AJ X INFL PTA GENERAL</v>
          </cell>
        </row>
        <row r="1254">
          <cell r="B1254" t="str">
            <v>CENTRO DE ACTIVIDAD NO EXISTE!!!</v>
          </cell>
        </row>
        <row r="1255">
          <cell r="B1255" t="str">
            <v>PLAN PARQUES ECOLOGICOS</v>
          </cell>
        </row>
        <row r="1256">
          <cell r="B1256" t="str">
            <v>PARQUE DE LAS AGUAS</v>
          </cell>
        </row>
        <row r="1257">
          <cell r="B1257" t="str">
            <v>CENTRO DE ACTIVIDAD NO EXISTE!!!</v>
          </cell>
        </row>
        <row r="1258">
          <cell r="B1258" t="str">
            <v>INTERVENTORIA EDIFICIO EPM</v>
          </cell>
        </row>
        <row r="1259">
          <cell r="B1259" t="str">
            <v>CENTRO DE ACTIVIDAD NO EXISTE!!!</v>
          </cell>
        </row>
        <row r="1260">
          <cell r="B1260" t="str">
            <v>COSTOS CONCURRENTES EDIFICIO EPM</v>
          </cell>
        </row>
        <row r="1261">
          <cell r="B1261" t="str">
            <v>INGENIERIA Y ADMON EDIFICIO EPM</v>
          </cell>
        </row>
        <row r="1262">
          <cell r="B1262" t="str">
            <v>CENTRO DE ACTIVIDAD NO EXISTE!!!</v>
          </cell>
        </row>
        <row r="1263">
          <cell r="B1263" t="str">
            <v>ESTRUCTURAS METALICAS EDIF EPM</v>
          </cell>
        </row>
        <row r="1264">
          <cell r="B1264" t="str">
            <v>CENTRO DE ACTIVIDAD NO EXISTE!!!</v>
          </cell>
        </row>
        <row r="1265">
          <cell r="B1265" t="str">
            <v>AMOBLAM Y SENALIZ EDIFICIO EPM</v>
          </cell>
        </row>
        <row r="1266">
          <cell r="B1266" t="str">
            <v>CENTRO DE ACTIVIDAD NO EXISTE!!!</v>
          </cell>
        </row>
        <row r="1267">
          <cell r="B1267" t="str">
            <v>ACABADOS GRALES EDIFICIO EPM</v>
          </cell>
        </row>
        <row r="1268">
          <cell r="B1268" t="str">
            <v>CENTRO DE ACTIVIDAD NO EXISTE!!!</v>
          </cell>
        </row>
        <row r="1269">
          <cell r="B1269" t="str">
            <v>SISTEMA DE AIRE ACOND EDIF EPM</v>
          </cell>
        </row>
        <row r="1270">
          <cell r="B1270" t="str">
            <v>TRANSP VERT E INCLINADO EDIF EPM</v>
          </cell>
        </row>
        <row r="1271">
          <cell r="B1271" t="str">
            <v>CENTRO DE ACTIVIDAD NO EXISTE!!!</v>
          </cell>
        </row>
        <row r="1272">
          <cell r="B1272" t="str">
            <v>RED ELECT Y COMUNICACIONES EDIF EPM</v>
          </cell>
        </row>
        <row r="1273">
          <cell r="B1273" t="str">
            <v>AUTOMATIZACION EDIFICIO EPM</v>
          </cell>
        </row>
        <row r="1274">
          <cell r="B1274" t="str">
            <v>SISTEMAS DE ILUMINACION EDIF EPM</v>
          </cell>
        </row>
        <row r="1275">
          <cell r="B1275" t="str">
            <v>CENTRO DE ACTIVIDAD NO EXISTE!!!</v>
          </cell>
        </row>
        <row r="1276">
          <cell r="B1276" t="str">
            <v>EQ ANTIINCENDIO E HIDR EDIF EPM</v>
          </cell>
        </row>
        <row r="1277">
          <cell r="B1277" t="str">
            <v>SIST DE VOZ DAT Y SONID EDIF EPM</v>
          </cell>
        </row>
        <row r="1278">
          <cell r="B1278" t="str">
            <v>ANTICIPO SEDE</v>
          </cell>
        </row>
        <row r="1279">
          <cell r="B1279" t="str">
            <v>CENTRO DE ACTIVIDAD NO EXISTE!!!</v>
          </cell>
        </row>
        <row r="1280">
          <cell r="B1280" t="str">
            <v>PROYECTO URE EN LA RESIDENCIA</v>
          </cell>
        </row>
        <row r="1281">
          <cell r="B1281" t="str">
            <v>PROYECTO PILOTO URE INDUSTRIA</v>
          </cell>
        </row>
        <row r="1282">
          <cell r="B1282" t="str">
            <v>INVESTIGACION Y DESARROLLO URE</v>
          </cell>
        </row>
        <row r="1283">
          <cell r="B1283" t="str">
            <v>CENTRO DE ACTIVIDAD NO EXISTE!!!</v>
          </cell>
        </row>
        <row r="1284">
          <cell r="B1284" t="str">
            <v>INGENIERIA Y ADMON U.R.E.</v>
          </cell>
        </row>
        <row r="1285">
          <cell r="B1285" t="str">
            <v>ALUMBRADO PUBLICO EFICIENTE</v>
          </cell>
        </row>
        <row r="1286">
          <cell r="B1286" t="str">
            <v>CENTRO DE ACTIVIDAD NO EXISTE!!!</v>
          </cell>
        </row>
        <row r="1287">
          <cell r="B1287" t="str">
            <v>PROYECTO ALURE</v>
          </cell>
        </row>
        <row r="1288">
          <cell r="B1288" t="str">
            <v>CENTRO DE ACTIVIDAD NO EXISTE!!!</v>
          </cell>
        </row>
        <row r="1289">
          <cell r="B1289" t="str">
            <v>CAMPANA NACIONAL URE</v>
          </cell>
        </row>
        <row r="1290">
          <cell r="B1290" t="str">
            <v>CENTRO DE ACTIVIDAD NO EXISTE!!!</v>
          </cell>
        </row>
        <row r="1291">
          <cell r="B1291" t="str">
            <v>ANTICIPOS U.R.E.</v>
          </cell>
        </row>
        <row r="1292">
          <cell r="B1292" t="str">
            <v>CENTRO DE ACTIVIDAD NO EXISTE!!!</v>
          </cell>
        </row>
        <row r="1293">
          <cell r="B1293" t="str">
            <v>AJ POR INFL USO RACIONAL ENERGIA</v>
          </cell>
        </row>
        <row r="1294">
          <cell r="B1294" t="str">
            <v>CENTRO DE ACTIVIDAD NO EXISTE!!!</v>
          </cell>
        </row>
        <row r="1295">
          <cell r="B1295" t="str">
            <v>ANTICIPOS PROGRAMAS GENERALES</v>
          </cell>
        </row>
        <row r="1296">
          <cell r="B1296" t="str">
            <v>DIRECCION DE INFORMATICA</v>
          </cell>
        </row>
        <row r="1297">
          <cell r="B1297" t="str">
            <v>CAPACIDAD EQUIPOS CORPORATIVOS</v>
          </cell>
        </row>
        <row r="1298">
          <cell r="B1298" t="str">
            <v>PROYECTO GACELA</v>
          </cell>
        </row>
        <row r="1299">
          <cell r="B1299" t="str">
            <v>RED COMUNICACION DE DATOS</v>
          </cell>
        </row>
        <row r="1300">
          <cell r="B1300" t="str">
            <v>METODOLOGIA PARA DRROLLO SIST.</v>
          </cell>
        </row>
        <row r="1301">
          <cell r="B1301" t="str">
            <v>CENTRO DE ACTIVIDAD NO EXISTE!!!</v>
          </cell>
        </row>
        <row r="1302">
          <cell r="B1302" t="str">
            <v>UNIDAD PLANEACION INFORMATICA</v>
          </cell>
        </row>
        <row r="1303">
          <cell r="B1303" t="str">
            <v>CENTRO DE ACTIVIDAD NO EXISTE!!!</v>
          </cell>
        </row>
        <row r="1304">
          <cell r="B1304" t="str">
            <v>UNIDAD DE GESTION INFORMATICA</v>
          </cell>
        </row>
        <row r="1305">
          <cell r="B1305" t="str">
            <v>CENTRO DE ACTIVIDAD NO EXISTE!!!</v>
          </cell>
        </row>
        <row r="1306">
          <cell r="B1306" t="str">
            <v>UNIDAD INGENIERÍA Y TECNOLOGÍA INFORMÁTICA</v>
          </cell>
        </row>
        <row r="1307">
          <cell r="B1307" t="str">
            <v>CENTRO DE ACTIVIDAD NO EXISTE!!!</v>
          </cell>
        </row>
        <row r="1308">
          <cell r="B1308" t="str">
            <v>UNIDAD SISTEMAS DE INFORMACIÓN</v>
          </cell>
        </row>
        <row r="1309">
          <cell r="B1309" t="str">
            <v>EQUIPO SIGMA</v>
          </cell>
        </row>
        <row r="1310">
          <cell r="B1310" t="str">
            <v>MANTENIMIENTO SISTEMAS DE INFORMACIÓN</v>
          </cell>
        </row>
        <row r="1311">
          <cell r="B1311" t="str">
            <v>CENTRO DE ACTIVIDAD NO EXISTE!!!</v>
          </cell>
        </row>
        <row r="1312">
          <cell r="B1312" t="str">
            <v>UNIDAD OPERACIONES INFORMÁTICAS</v>
          </cell>
        </row>
        <row r="1313">
          <cell r="B1313" t="str">
            <v>CENTRO DE ACTIVIDAD NO EXISTE!!!</v>
          </cell>
        </row>
        <row r="1314">
          <cell r="B1314" t="str">
            <v>AJ POR INFL PLAN M INFORMATICA</v>
          </cell>
        </row>
        <row r="1315">
          <cell r="B1315" t="str">
            <v>AJ POR INFL PLAN M INFORMATICA</v>
          </cell>
        </row>
        <row r="1316">
          <cell r="B1316" t="str">
            <v>AJ X INFL PLAN MAEST INFORMATC</v>
          </cell>
        </row>
        <row r="1317">
          <cell r="B1317" t="str">
            <v>AJ POR INFL P MAEST INFORMATIC</v>
          </cell>
        </row>
        <row r="1318">
          <cell r="B1318" t="str">
            <v>CENTRO DE ACTIVIDAD NO EXISTE!!!</v>
          </cell>
        </row>
        <row r="1319">
          <cell r="B1319" t="str">
            <v>DLLO PROY INTERNOS INFORMATICA</v>
          </cell>
        </row>
        <row r="1320">
          <cell r="B1320" t="str">
            <v>CENTRO DE ACTIVIDAD NO EXISTE!!!</v>
          </cell>
        </row>
        <row r="1321">
          <cell r="B1321" t="str">
            <v>CAPACITACION INFORMATICA</v>
          </cell>
        </row>
        <row r="1322">
          <cell r="B1322" t="str">
            <v>SISTEMA INFORMACION ADMON CONT</v>
          </cell>
        </row>
        <row r="1323">
          <cell r="B1323" t="str">
            <v>BASE DE DATOS HIDROMETEOROLOGI</v>
          </cell>
        </row>
        <row r="1324">
          <cell r="B1324" t="str">
            <v>CENTRO DE ACTIVIDAD NO EXISTE!!!</v>
          </cell>
        </row>
        <row r="1325">
          <cell r="B1325" t="str">
            <v>GEST AUTOMATIZ MAT Y MTTO GAMMA</v>
          </cell>
        </row>
        <row r="1326">
          <cell r="B1326" t="str">
            <v>SIST.INFORM. DEL CIGAT</v>
          </cell>
        </row>
        <row r="1327">
          <cell r="B1327" t="str">
            <v>CENTRO DE ACTIVIDAD NO EXISTE!!!</v>
          </cell>
        </row>
        <row r="1328">
          <cell r="B1328" t="str">
            <v>SIST.INFORM.CONTROL PERD.TCAS</v>
          </cell>
        </row>
        <row r="1329">
          <cell r="B1329" t="str">
            <v>CENTRO DE ACTIVIDAD NO EXISTE!!!</v>
          </cell>
        </row>
        <row r="1330">
          <cell r="B1330" t="str">
            <v>DIS DE RED ASIST POR COMP</v>
          </cell>
        </row>
        <row r="1331">
          <cell r="B1331" t="str">
            <v>CENTRO DE ACTIVIDAD NO EXISTE!!!</v>
          </cell>
        </row>
        <row r="1332">
          <cell r="B1332" t="str">
            <v>PROYECTO GESTAR</v>
          </cell>
        </row>
        <row r="1333">
          <cell r="B1333" t="str">
            <v>PROYECTO MULTIMEDIA</v>
          </cell>
        </row>
        <row r="1334">
          <cell r="B1334" t="str">
            <v>CENTRO DE ACTIVIDAD NO EXISTE!!!</v>
          </cell>
        </row>
        <row r="1335">
          <cell r="B1335" t="str">
            <v>ADQUISICION PAQUETE MANEJO GESTION</v>
          </cell>
        </row>
        <row r="1336">
          <cell r="B1336" t="str">
            <v>DESARROLLO COMUNICACIÓN DE DATOS</v>
          </cell>
        </row>
        <row r="1337">
          <cell r="B1337" t="str">
            <v>SOPORTE MANTENIMIENTO  D.R.C.</v>
          </cell>
        </row>
        <row r="1338">
          <cell r="B1338" t="str">
            <v>GROUPWARE</v>
          </cell>
        </row>
        <row r="1339">
          <cell r="B1339" t="str">
            <v>PROYECTO PIBOT CORPORATIVO</v>
          </cell>
        </row>
        <row r="1340">
          <cell r="B1340" t="str">
            <v>PAQUETE PRONOSTICO DE CAUDALES</v>
          </cell>
        </row>
        <row r="1341">
          <cell r="B1341" t="str">
            <v>CENTRO DE ACTIVIDAD NO EXISTE!!!</v>
          </cell>
        </row>
        <row r="1342">
          <cell r="B1342" t="str">
            <v>PROYECTO METODOLOGIA FASE II</v>
          </cell>
        </row>
        <row r="1343">
          <cell r="B1343" t="str">
            <v>HW PROYECTOS DE TECNOLOGIA</v>
          </cell>
        </row>
        <row r="1344">
          <cell r="B1344" t="str">
            <v>CENTRO DE ACTIVIDAD NO EXISTE!!!</v>
          </cell>
        </row>
        <row r="1345">
          <cell r="B1345" t="str">
            <v>PLAN DES. INF. GEREN. DISTRIB. ENERGIA</v>
          </cell>
        </row>
        <row r="1346">
          <cell r="B1346" t="str">
            <v>CENTRO DE ACTIVIDAD NO EXISTE!!!</v>
          </cell>
        </row>
        <row r="1347">
          <cell r="B1347" t="str">
            <v>SW MICROS SERVIDORES Y EQ.DPTL</v>
          </cell>
        </row>
        <row r="1348">
          <cell r="B1348" t="str">
            <v>CENTRO DE ACTIVIDAD NO EXISTE!!!</v>
          </cell>
        </row>
        <row r="1349">
          <cell r="B1349" t="str">
            <v>PROYECTO SIGMA CON RECURSOS PROP.</v>
          </cell>
        </row>
        <row r="1350">
          <cell r="B1350" t="str">
            <v>ASESORIA Y SOPORTE TECN. SIGMA</v>
          </cell>
        </row>
        <row r="1351">
          <cell r="B1351" t="str">
            <v>CAPACITACION SIGMA</v>
          </cell>
        </row>
        <row r="1352">
          <cell r="B1352" t="str">
            <v>DESARROLLO APLICACIONES SIGMA</v>
          </cell>
        </row>
        <row r="1353">
          <cell r="B1353" t="str">
            <v>CONVERSION BASE GEOGRAFICA SIGMA</v>
          </cell>
        </row>
        <row r="1354">
          <cell r="B1354" t="str">
            <v>PROY. PILOTO SIGMA BIRF 2449</v>
          </cell>
        </row>
        <row r="1355">
          <cell r="B1355" t="str">
            <v>CONVERSION REDES ACUEDUCTO</v>
          </cell>
        </row>
        <row r="1356">
          <cell r="B1356" t="str">
            <v>CONVERSION REDES ALCANTARILLADO</v>
          </cell>
        </row>
        <row r="1357">
          <cell r="B1357" t="str">
            <v>CONVERSION REDES DISTRIBUCION</v>
          </cell>
        </row>
        <row r="1358">
          <cell r="B1358" t="str">
            <v>CONVERSION REDES TELEFONOS</v>
          </cell>
        </row>
        <row r="1359">
          <cell r="B1359" t="str">
            <v>HW SW Y APLICATIVOS ACUEDUCTO</v>
          </cell>
        </row>
        <row r="1360">
          <cell r="B1360" t="str">
            <v>HW SW Y APLICATIVOS SANEAMIENTO</v>
          </cell>
        </row>
        <row r="1361">
          <cell r="B1361" t="str">
            <v>HW SW Y APLICATIVOS ENERGIA</v>
          </cell>
        </row>
        <row r="1362">
          <cell r="B1362" t="str">
            <v>HW SW Y APLICATIVOS TELECOMUN.</v>
          </cell>
        </row>
        <row r="1363">
          <cell r="B1363" t="str">
            <v>POLIGONO</v>
          </cell>
        </row>
        <row r="1364">
          <cell r="B1364" t="str">
            <v>HW SW Y APLICATIVOS GAS</v>
          </cell>
        </row>
        <row r="1365">
          <cell r="B1365" t="str">
            <v>CONVERSION REDES GAS</v>
          </cell>
        </row>
        <row r="1366">
          <cell r="B1366" t="str">
            <v>CENTRO DE ACTIVIDAD NO EXISTE!!!</v>
          </cell>
        </row>
        <row r="1367">
          <cell r="B1367" t="str">
            <v>SIGA</v>
          </cell>
        </row>
        <row r="1368">
          <cell r="B1368" t="str">
            <v>CENTRO DE ACTIVIDAD NO EXISTE!!!</v>
          </cell>
        </row>
        <row r="1369">
          <cell r="B1369" t="str">
            <v>EVOLUCION SISTEMA DANOS ACUEDUCTO</v>
          </cell>
        </row>
        <row r="1370">
          <cell r="B1370" t="str">
            <v>CENTRO DE ACTIVIDAD NO EXISTE!!!</v>
          </cell>
        </row>
        <row r="1371">
          <cell r="B1371" t="str">
            <v>ALURE PERDIDAS</v>
          </cell>
        </row>
        <row r="1372">
          <cell r="B1372" t="str">
            <v>PROYECTO ALURE COSTOS</v>
          </cell>
        </row>
        <row r="1373">
          <cell r="B1373" t="str">
            <v>SISTEMA INFORM. COMERCIALIZACION ENERGIA</v>
          </cell>
        </row>
        <row r="1374">
          <cell r="B1374" t="str">
            <v>CENTRO DE ACTIVIDAD NO EXISTE!!!</v>
          </cell>
        </row>
        <row r="1375">
          <cell r="B1375" t="str">
            <v>SISTEMA INFORM. PARA LA BOLSA DE ENERGIA</v>
          </cell>
        </row>
        <row r="1376">
          <cell r="B1376" t="str">
            <v>SIST. INFORM. STO. GESTION GCIA. GENERAC</v>
          </cell>
        </row>
        <row r="1377">
          <cell r="B1377" t="str">
            <v>SISTEMA INFORM. PARA GESTION MERCADEO</v>
          </cell>
        </row>
        <row r="1378">
          <cell r="B1378" t="str">
            <v>SIST. INFORM. GESTION FIN. GCIA. GENERAC</v>
          </cell>
        </row>
        <row r="1379">
          <cell r="B1379" t="str">
            <v>CENTRO DE ACTIVIDAD NO EXISTE!!!</v>
          </cell>
        </row>
        <row r="1380">
          <cell r="B1380" t="str">
            <v>EPM BOGOTA S.A. E.S.P.</v>
          </cell>
        </row>
        <row r="1381">
          <cell r="B1381" t="str">
            <v>CENTRO DE ACTIVIDAD NO EXISTE!!!</v>
          </cell>
        </row>
        <row r="1382">
          <cell r="B1382" t="str">
            <v>SISTEMA DE INFORMACION TESORERIA</v>
          </cell>
        </row>
        <row r="1383">
          <cell r="B1383" t="str">
            <v>SISTEMA DE INFORMACION REVISIONES</v>
          </cell>
        </row>
        <row r="1384">
          <cell r="B1384" t="str">
            <v>SISTEMA DE INFORMACION FINANCIERO</v>
          </cell>
        </row>
        <row r="1385">
          <cell r="B1385" t="str">
            <v>SISTEMA DE INFORMACION SEGUROS</v>
          </cell>
        </row>
        <row r="1386">
          <cell r="B1386" t="str">
            <v>PROYECTO SOLUCIONES ANO 2000</v>
          </cell>
        </row>
        <row r="1387">
          <cell r="B1387" t="str">
            <v>CENTRO DE ACTIVIDAD NO EXISTE!!!</v>
          </cell>
        </row>
        <row r="1388">
          <cell r="B1388" t="str">
            <v>SIST. INF. INVENTARIOS (CARTERA, LOTES)</v>
          </cell>
        </row>
        <row r="1389">
          <cell r="B1389" t="str">
            <v>SISTEMA INTEGRADO INFORMACION BIBLIOTECA</v>
          </cell>
        </row>
        <row r="1390">
          <cell r="B1390" t="str">
            <v>SISTEMA POS-PROVEEDURIA</v>
          </cell>
        </row>
        <row r="1391">
          <cell r="B1391" t="str">
            <v>AMPLIACION RED CORPORATIVA EEPPM</v>
          </cell>
        </row>
        <row r="1392">
          <cell r="B1392" t="str">
            <v>SEGURIDAD DE LA INFRAESTRUCTURA INFORM.</v>
          </cell>
        </row>
        <row r="1393">
          <cell r="B1393" t="str">
            <v>ADMINISTRACION DE LA INFRAESTRUCTURA INF</v>
          </cell>
        </row>
        <row r="1394">
          <cell r="B1394" t="str">
            <v>COMUNICACION ORGANIZACIONAL ELECTRONICA</v>
          </cell>
        </row>
        <row r="1395">
          <cell r="B1395" t="str">
            <v>PROYECTO SISIE</v>
          </cell>
        </row>
        <row r="1396">
          <cell r="B1396" t="str">
            <v>CENTRO DE ACTIVIDAD NO EXISTE!!!</v>
          </cell>
        </row>
        <row r="1397">
          <cell r="B1397" t="str">
            <v>PROYECTO TRIPLE-E</v>
          </cell>
        </row>
        <row r="1398">
          <cell r="B1398" t="str">
            <v>PROYECTO INFRAGAS</v>
          </cell>
        </row>
        <row r="1399">
          <cell r="B1399" t="str">
            <v>PROYECTO COM-GAS</v>
          </cell>
        </row>
        <row r="1400">
          <cell r="B1400" t="str">
            <v>PROYECTO DISGAS</v>
          </cell>
        </row>
        <row r="1401">
          <cell r="B1401" t="str">
            <v>PROYECTO CONTRATAR</v>
          </cell>
        </row>
        <row r="1402">
          <cell r="B1402" t="str">
            <v>CENTRO DE ACTIVIDAD NO EXISTE!!!</v>
          </cell>
        </row>
        <row r="1403">
          <cell r="B1403" t="str">
            <v>ANTICIPOS ESTUDIOS</v>
          </cell>
        </row>
        <row r="1404">
          <cell r="B1404" t="str">
            <v>CENTRO DE ACTIVIDAD NO EXISTE!!!</v>
          </cell>
        </row>
      </sheetData>
      <sheetData sheetId="4" refreshError="1">
        <row r="2">
          <cell r="A2" t="str">
            <v>CODIGO</v>
          </cell>
        </row>
        <row r="3">
          <cell r="A3">
            <v>1</v>
          </cell>
        </row>
        <row r="4">
          <cell r="A4">
            <v>2</v>
          </cell>
        </row>
        <row r="5">
          <cell r="A5">
            <v>3</v>
          </cell>
        </row>
        <row r="6">
          <cell r="A6">
            <v>4</v>
          </cell>
        </row>
        <row r="7">
          <cell r="A7">
            <v>5</v>
          </cell>
        </row>
        <row r="8">
          <cell r="A8">
            <v>6</v>
          </cell>
        </row>
      </sheetData>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Venta de servicios 2019"/>
      <sheetName val="PM Venta de servicios 2023"/>
      <sheetName val="PM Gestión Venta de Servicios"/>
      <sheetName val="Cumplimiento"/>
      <sheetName val="Instructivo"/>
      <sheetName val="Tabla informe"/>
      <sheetName val="Hoja2"/>
    </sheetNames>
    <sheetDataSet>
      <sheetData sheetId="0"/>
      <sheetData sheetId="1"/>
      <sheetData sheetId="2"/>
      <sheetData sheetId="3">
        <row r="6">
          <cell r="B6" t="str">
            <v>Auditoría Interna Proceso Gestión Venta de Servicios 2019</v>
          </cell>
          <cell r="C6">
            <v>3</v>
          </cell>
          <cell r="D6">
            <v>2</v>
          </cell>
          <cell r="E6">
            <v>44805</v>
          </cell>
          <cell r="F6" t="str">
            <v>SI</v>
          </cell>
          <cell r="G6">
            <v>4</v>
          </cell>
          <cell r="H6">
            <v>11</v>
          </cell>
          <cell r="I6">
            <v>10</v>
          </cell>
          <cell r="J6">
            <v>0</v>
          </cell>
          <cell r="K6">
            <v>1</v>
          </cell>
          <cell r="L6">
            <v>0</v>
          </cell>
          <cell r="M6">
            <v>0.90909090909090906</v>
          </cell>
          <cell r="N6">
            <v>0</v>
          </cell>
          <cell r="O6">
            <v>9.0909090909090912E-2</v>
          </cell>
          <cell r="P6">
            <v>0.66666666666666663</v>
          </cell>
        </row>
        <row r="7">
          <cell r="B7" t="str">
            <v>Auditoría Interna Proceso Gestión Venta de Servicios 2020</v>
          </cell>
          <cell r="C7">
            <v>6</v>
          </cell>
          <cell r="D7">
            <v>0</v>
          </cell>
          <cell r="E7"/>
          <cell r="F7" t="str">
            <v>NO</v>
          </cell>
          <cell r="G7" t="str">
            <v/>
          </cell>
          <cell r="H7">
            <v>0</v>
          </cell>
          <cell r="I7">
            <v>0</v>
          </cell>
          <cell r="J7">
            <v>0</v>
          </cell>
          <cell r="K7">
            <v>0</v>
          </cell>
          <cell r="L7">
            <v>0</v>
          </cell>
          <cell r="M7" t="str">
            <v>-</v>
          </cell>
          <cell r="N7" t="str">
            <v>-</v>
          </cell>
          <cell r="O7" t="str">
            <v>-</v>
          </cell>
          <cell r="P7">
            <v>0</v>
          </cell>
        </row>
        <row r="8">
          <cell r="B8" t="str">
            <v>Auditoría Interna Supervisión de contratos 2020</v>
          </cell>
          <cell r="C8">
            <v>2</v>
          </cell>
          <cell r="D8">
            <v>0</v>
          </cell>
          <cell r="E8"/>
          <cell r="F8" t="str">
            <v>NO</v>
          </cell>
          <cell r="G8" t="str">
            <v/>
          </cell>
          <cell r="H8">
            <v>0</v>
          </cell>
          <cell r="I8">
            <v>0</v>
          </cell>
          <cell r="J8">
            <v>0</v>
          </cell>
          <cell r="K8">
            <v>0</v>
          </cell>
          <cell r="L8">
            <v>0</v>
          </cell>
          <cell r="M8" t="str">
            <v>-</v>
          </cell>
          <cell r="N8" t="str">
            <v>-</v>
          </cell>
          <cell r="O8" t="str">
            <v>-</v>
          </cell>
          <cell r="P8">
            <v>0</v>
          </cell>
        </row>
        <row r="9">
          <cell r="B9" t="str">
            <v>Auditoría Interna Supervisión de contratos 2021</v>
          </cell>
          <cell r="C9">
            <v>3</v>
          </cell>
          <cell r="D9">
            <v>0</v>
          </cell>
          <cell r="E9"/>
          <cell r="F9" t="str">
            <v>NO</v>
          </cell>
          <cell r="G9" t="str">
            <v/>
          </cell>
          <cell r="H9">
            <v>0</v>
          </cell>
          <cell r="I9">
            <v>0</v>
          </cell>
          <cell r="J9">
            <v>0</v>
          </cell>
          <cell r="K9">
            <v>0</v>
          </cell>
          <cell r="L9">
            <v>0</v>
          </cell>
          <cell r="M9" t="str">
            <v>-</v>
          </cell>
          <cell r="N9" t="str">
            <v>-</v>
          </cell>
          <cell r="O9" t="str">
            <v>-</v>
          </cell>
          <cell r="P9">
            <v>0</v>
          </cell>
        </row>
        <row r="10">
          <cell r="B10" t="str">
            <v>Auditoría Interna Supervisión de contratos 2022</v>
          </cell>
          <cell r="C10">
            <v>2</v>
          </cell>
          <cell r="D10">
            <v>0</v>
          </cell>
          <cell r="E10"/>
          <cell r="F10" t="str">
            <v>NO</v>
          </cell>
          <cell r="G10" t="str">
            <v/>
          </cell>
          <cell r="H10">
            <v>0</v>
          </cell>
          <cell r="I10">
            <v>0</v>
          </cell>
          <cell r="J10">
            <v>0</v>
          </cell>
          <cell r="K10">
            <v>0</v>
          </cell>
          <cell r="L10">
            <v>0</v>
          </cell>
          <cell r="M10" t="str">
            <v>-</v>
          </cell>
          <cell r="N10" t="str">
            <v>-</v>
          </cell>
          <cell r="O10" t="str">
            <v>-</v>
          </cell>
          <cell r="P10">
            <v>0</v>
          </cell>
        </row>
        <row r="11">
          <cell r="B11" t="str">
            <v>Auditoría Interna Proceso Gestión Venta de Servicios 2023</v>
          </cell>
          <cell r="C11">
            <v>6</v>
          </cell>
          <cell r="D11">
            <v>0</v>
          </cell>
          <cell r="E11"/>
          <cell r="F11" t="str">
            <v>SI</v>
          </cell>
          <cell r="G11">
            <v>0</v>
          </cell>
          <cell r="H11">
            <v>5</v>
          </cell>
          <cell r="I11">
            <v>0</v>
          </cell>
          <cell r="J11">
            <v>0</v>
          </cell>
          <cell r="K11">
            <v>0</v>
          </cell>
          <cell r="L11">
            <v>5</v>
          </cell>
          <cell r="M11" t="str">
            <v>-</v>
          </cell>
          <cell r="N11" t="str">
            <v>-</v>
          </cell>
          <cell r="O11" t="str">
            <v>-</v>
          </cell>
          <cell r="P11">
            <v>0</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6</v>
          </cell>
          <cell r="C26">
            <v>22</v>
          </cell>
          <cell r="D26">
            <v>2</v>
          </cell>
          <cell r="E26" t="str">
            <v>-</v>
          </cell>
          <cell r="F26">
            <v>0.33333333333333331</v>
          </cell>
          <cell r="G26" t="str">
            <v>-</v>
          </cell>
          <cell r="H26">
            <v>16</v>
          </cell>
          <cell r="I26">
            <v>10</v>
          </cell>
          <cell r="J26">
            <v>0</v>
          </cell>
          <cell r="K26">
            <v>1</v>
          </cell>
          <cell r="L26">
            <v>5</v>
          </cell>
          <cell r="M26">
            <v>0.90909090909090906</v>
          </cell>
          <cell r="N26">
            <v>0</v>
          </cell>
          <cell r="O26">
            <v>9.0909090909090912E-2</v>
          </cell>
          <cell r="P26">
            <v>9.0909090909090912E-2</v>
          </cell>
        </row>
        <row r="27">
          <cell r="B27"/>
          <cell r="F27"/>
          <cell r="N27"/>
          <cell r="O27"/>
        </row>
        <row r="28">
          <cell r="B28"/>
          <cell r="F28"/>
        </row>
        <row r="29">
          <cell r="B29"/>
          <cell r="F29"/>
        </row>
        <row r="30">
          <cell r="B30"/>
          <cell r="F30"/>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ención en urgencias 2019"/>
      <sheetName val="Atención en urgencias 2020"/>
      <sheetName val="PM Atención en Urgencias"/>
      <sheetName val="Cumplimiento"/>
      <sheetName val="Instructivo"/>
      <sheetName val="Tabla informe"/>
      <sheetName val="Hoja2"/>
    </sheetNames>
    <sheetDataSet>
      <sheetData sheetId="0"/>
      <sheetData sheetId="1"/>
      <sheetData sheetId="2"/>
      <sheetData sheetId="3">
        <row r="6">
          <cell r="B6" t="str">
            <v>Auditoria Interna Proceso Atención en Urgencias 2019</v>
          </cell>
          <cell r="C6">
            <v>6</v>
          </cell>
          <cell r="D6">
            <v>2</v>
          </cell>
          <cell r="E6">
            <v>44683</v>
          </cell>
          <cell r="F6" t="str">
            <v>SI</v>
          </cell>
          <cell r="G6">
            <v>2</v>
          </cell>
          <cell r="H6">
            <v>7</v>
          </cell>
          <cell r="I6">
            <v>3</v>
          </cell>
          <cell r="J6">
            <v>2</v>
          </cell>
          <cell r="K6">
            <v>2</v>
          </cell>
          <cell r="L6">
            <v>0</v>
          </cell>
          <cell r="M6">
            <v>0.42857142857142855</v>
          </cell>
          <cell r="N6">
            <v>0.2857142857142857</v>
          </cell>
          <cell r="O6">
            <v>0.2857142857142857</v>
          </cell>
          <cell r="P6">
            <v>0.33333333333333331</v>
          </cell>
        </row>
        <row r="7">
          <cell r="B7" t="str">
            <v>Auditoria Interna Proceso Atención en Urgencias 2020</v>
          </cell>
          <cell r="C7">
            <v>7</v>
          </cell>
          <cell r="D7">
            <v>2</v>
          </cell>
          <cell r="E7">
            <v>44748</v>
          </cell>
          <cell r="F7" t="str">
            <v>SI</v>
          </cell>
          <cell r="G7">
            <v>1</v>
          </cell>
          <cell r="H7">
            <v>6</v>
          </cell>
          <cell r="I7">
            <v>2</v>
          </cell>
          <cell r="J7">
            <v>3</v>
          </cell>
          <cell r="K7">
            <v>1</v>
          </cell>
          <cell r="L7">
            <v>0</v>
          </cell>
          <cell r="M7">
            <v>0.33333333333333331</v>
          </cell>
          <cell r="N7">
            <v>0.5</v>
          </cell>
          <cell r="O7">
            <v>0.16666666666666666</v>
          </cell>
          <cell r="P7">
            <v>0.2857142857142857</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2</v>
          </cell>
          <cell r="C26">
            <v>13</v>
          </cell>
          <cell r="D26">
            <v>4</v>
          </cell>
          <cell r="E26" t="str">
            <v>-</v>
          </cell>
          <cell r="F26">
            <v>1</v>
          </cell>
          <cell r="G26" t="str">
            <v>-</v>
          </cell>
          <cell r="H26">
            <v>13</v>
          </cell>
          <cell r="I26">
            <v>5</v>
          </cell>
          <cell r="J26">
            <v>5</v>
          </cell>
          <cell r="K26">
            <v>3</v>
          </cell>
          <cell r="L26">
            <v>0</v>
          </cell>
          <cell r="M26">
            <v>0.38461538461538464</v>
          </cell>
          <cell r="N26">
            <v>0.38461538461538464</v>
          </cell>
          <cell r="O26">
            <v>0.23076923076923078</v>
          </cell>
          <cell r="P26">
            <v>0.30769230769230771</v>
          </cell>
        </row>
        <row r="27">
          <cell r="B27"/>
          <cell r="C27"/>
          <cell r="D27"/>
          <cell r="E27"/>
          <cell r="F27"/>
          <cell r="G27"/>
          <cell r="H27"/>
        </row>
        <row r="28">
          <cell r="B28"/>
          <cell r="F28"/>
        </row>
        <row r="29">
          <cell r="B29"/>
          <cell r="F29"/>
        </row>
        <row r="30">
          <cell r="B30"/>
          <cell r="F30"/>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ención en hospitalizació 2019"/>
      <sheetName val="Gestión de camas 2021"/>
      <sheetName val="PM Atención en Hospitalización"/>
      <sheetName val="Cumplimiento"/>
      <sheetName val="Instructivo"/>
      <sheetName val="Tabla informe"/>
      <sheetName val="Hoja2"/>
    </sheetNames>
    <sheetDataSet>
      <sheetData sheetId="0"/>
      <sheetData sheetId="1"/>
      <sheetData sheetId="2"/>
      <sheetData sheetId="3">
        <row r="7">
          <cell r="B7" t="str">
            <v>Auditoria Interna Proceso Atención en Hospitalización 2019</v>
          </cell>
          <cell r="C7">
            <v>43727</v>
          </cell>
          <cell r="D7">
            <v>7</v>
          </cell>
          <cell r="E7">
            <v>0</v>
          </cell>
          <cell r="F7">
            <v>43804</v>
          </cell>
          <cell r="G7" t="str">
            <v>SI</v>
          </cell>
          <cell r="H7">
            <v>1</v>
          </cell>
          <cell r="I7">
            <v>15</v>
          </cell>
          <cell r="J7">
            <v>0</v>
          </cell>
          <cell r="K7">
            <v>0</v>
          </cell>
          <cell r="L7">
            <v>1</v>
          </cell>
          <cell r="M7">
            <v>1</v>
          </cell>
          <cell r="N7">
            <v>0</v>
          </cell>
          <cell r="O7">
            <v>0</v>
          </cell>
          <cell r="P7">
            <v>14</v>
          </cell>
          <cell r="Q7">
            <v>0</v>
          </cell>
          <cell r="R7">
            <v>0</v>
          </cell>
        </row>
        <row r="8">
          <cell r="B8" t="str">
            <v>Auditoría Interna Diligenciamiento y custodia del Consentimiento Informado 2020</v>
          </cell>
          <cell r="C8">
            <v>44081</v>
          </cell>
          <cell r="D8">
            <v>3</v>
          </cell>
          <cell r="E8">
            <v>0</v>
          </cell>
          <cell r="F8"/>
          <cell r="G8" t="str">
            <v>NO</v>
          </cell>
          <cell r="H8" t="str">
            <v/>
          </cell>
          <cell r="I8">
            <v>0</v>
          </cell>
          <cell r="J8">
            <v>0</v>
          </cell>
          <cell r="K8" t="str">
            <v>-</v>
          </cell>
          <cell r="L8">
            <v>0</v>
          </cell>
          <cell r="M8" t="str">
            <v>-</v>
          </cell>
          <cell r="N8">
            <v>0</v>
          </cell>
          <cell r="O8" t="str">
            <v>-</v>
          </cell>
          <cell r="P8">
            <v>0</v>
          </cell>
          <cell r="Q8">
            <v>0</v>
          </cell>
          <cell r="R8">
            <v>0</v>
          </cell>
        </row>
        <row r="9">
          <cell r="B9" t="str">
            <v>Auditoria Interna Proceso Atención en Hospitalización - Gestión de Camas 2020</v>
          </cell>
          <cell r="C9">
            <v>44161</v>
          </cell>
          <cell r="D9">
            <v>1</v>
          </cell>
          <cell r="E9">
            <v>0</v>
          </cell>
          <cell r="F9"/>
          <cell r="G9" t="str">
            <v>NO</v>
          </cell>
          <cell r="H9" t="str">
            <v/>
          </cell>
          <cell r="I9">
            <v>0</v>
          </cell>
          <cell r="J9">
            <v>0</v>
          </cell>
          <cell r="K9" t="str">
            <v>-</v>
          </cell>
          <cell r="L9">
            <v>0</v>
          </cell>
          <cell r="M9" t="str">
            <v>-</v>
          </cell>
          <cell r="N9">
            <v>0</v>
          </cell>
          <cell r="O9" t="str">
            <v>-</v>
          </cell>
          <cell r="P9">
            <v>0</v>
          </cell>
          <cell r="Q9">
            <v>0</v>
          </cell>
          <cell r="R9">
            <v>0</v>
          </cell>
        </row>
        <row r="10">
          <cell r="B10" t="str">
            <v>Auditoria Interna Procedimiento Atención del Usuario en Hospitalización 2021</v>
          </cell>
          <cell r="C10">
            <v>44420</v>
          </cell>
          <cell r="D10">
            <v>3</v>
          </cell>
          <cell r="E10">
            <v>0</v>
          </cell>
          <cell r="F10"/>
          <cell r="G10" t="str">
            <v>NO</v>
          </cell>
          <cell r="H10" t="str">
            <v/>
          </cell>
          <cell r="I10">
            <v>0</v>
          </cell>
          <cell r="J10">
            <v>0</v>
          </cell>
          <cell r="K10" t="str">
            <v>-</v>
          </cell>
          <cell r="L10">
            <v>0</v>
          </cell>
          <cell r="M10" t="str">
            <v>-</v>
          </cell>
          <cell r="N10">
            <v>0</v>
          </cell>
          <cell r="O10" t="str">
            <v>-</v>
          </cell>
          <cell r="P10">
            <v>0</v>
          </cell>
          <cell r="Q10">
            <v>0</v>
          </cell>
          <cell r="R10">
            <v>0</v>
          </cell>
        </row>
        <row r="11">
          <cell r="B11" t="str">
            <v>Auditoría Interna Gestión de Camas 2021</v>
          </cell>
          <cell r="C11">
            <v>44474</v>
          </cell>
          <cell r="D11">
            <v>3</v>
          </cell>
          <cell r="E11">
            <v>0</v>
          </cell>
          <cell r="F11">
            <v>44736</v>
          </cell>
          <cell r="G11" t="str">
            <v>SI</v>
          </cell>
          <cell r="H11">
            <v>1</v>
          </cell>
          <cell r="I11">
            <v>4</v>
          </cell>
          <cell r="J11">
            <v>0</v>
          </cell>
          <cell r="K11">
            <v>0</v>
          </cell>
          <cell r="L11">
            <v>3</v>
          </cell>
          <cell r="M11">
            <v>0.75</v>
          </cell>
          <cell r="N11">
            <v>1</v>
          </cell>
          <cell r="O11">
            <v>0.25</v>
          </cell>
          <cell r="P11">
            <v>0</v>
          </cell>
          <cell r="Q11">
            <v>0</v>
          </cell>
          <cell r="R11">
            <v>0</v>
          </cell>
        </row>
        <row r="12">
          <cell r="B12"/>
          <cell r="C12"/>
          <cell r="D12"/>
          <cell r="E12"/>
          <cell r="F12"/>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B13"/>
          <cell r="C13"/>
          <cell r="D13"/>
          <cell r="E13"/>
          <cell r="F13"/>
          <cell r="G13" t="str">
            <v/>
          </cell>
          <cell r="H13" t="str">
            <v/>
          </cell>
          <cell r="I13" t="str">
            <v/>
          </cell>
          <cell r="J13" t="str">
            <v/>
          </cell>
          <cell r="K13" t="str">
            <v/>
          </cell>
          <cell r="L13" t="str">
            <v/>
          </cell>
          <cell r="M13" t="str">
            <v/>
          </cell>
          <cell r="N13" t="str">
            <v/>
          </cell>
          <cell r="O13" t="str">
            <v/>
          </cell>
          <cell r="P13" t="str">
            <v/>
          </cell>
          <cell r="Q13" t="str">
            <v/>
          </cell>
          <cell r="R13" t="str">
            <v/>
          </cell>
        </row>
        <row r="14">
          <cell r="B14"/>
          <cell r="C14"/>
          <cell r="D14"/>
          <cell r="E14"/>
          <cell r="F14"/>
          <cell r="G14" t="str">
            <v/>
          </cell>
          <cell r="H14" t="str">
            <v/>
          </cell>
          <cell r="I14" t="str">
            <v/>
          </cell>
          <cell r="J14" t="str">
            <v/>
          </cell>
          <cell r="K14" t="str">
            <v/>
          </cell>
          <cell r="L14" t="str">
            <v/>
          </cell>
          <cell r="M14" t="str">
            <v/>
          </cell>
          <cell r="N14" t="str">
            <v/>
          </cell>
          <cell r="O14" t="str">
            <v/>
          </cell>
          <cell r="P14" t="str">
            <v/>
          </cell>
          <cell r="Q14" t="str">
            <v/>
          </cell>
          <cell r="R14" t="str">
            <v/>
          </cell>
        </row>
        <row r="15">
          <cell r="B15"/>
          <cell r="C15"/>
          <cell r="D15"/>
          <cell r="E15"/>
          <cell r="F15"/>
          <cell r="G15" t="str">
            <v/>
          </cell>
          <cell r="H15" t="str">
            <v/>
          </cell>
          <cell r="I15" t="str">
            <v/>
          </cell>
          <cell r="J15" t="str">
            <v/>
          </cell>
          <cell r="K15" t="str">
            <v/>
          </cell>
          <cell r="L15" t="str">
            <v/>
          </cell>
          <cell r="M15" t="str">
            <v/>
          </cell>
          <cell r="N15" t="str">
            <v/>
          </cell>
          <cell r="O15" t="str">
            <v/>
          </cell>
          <cell r="P15" t="str">
            <v/>
          </cell>
          <cell r="Q15" t="str">
            <v/>
          </cell>
          <cell r="R15" t="str">
            <v/>
          </cell>
        </row>
        <row r="16">
          <cell r="B16"/>
          <cell r="C16"/>
          <cell r="D16"/>
          <cell r="E16"/>
          <cell r="F16"/>
          <cell r="G16" t="str">
            <v/>
          </cell>
          <cell r="H16" t="str">
            <v/>
          </cell>
          <cell r="I16" t="str">
            <v/>
          </cell>
          <cell r="J16" t="str">
            <v/>
          </cell>
          <cell r="K16" t="str">
            <v/>
          </cell>
          <cell r="L16" t="str">
            <v/>
          </cell>
          <cell r="M16" t="str">
            <v/>
          </cell>
          <cell r="N16" t="str">
            <v/>
          </cell>
          <cell r="O16" t="str">
            <v/>
          </cell>
          <cell r="P16" t="str">
            <v/>
          </cell>
          <cell r="Q16" t="str">
            <v/>
          </cell>
          <cell r="R16" t="str">
            <v/>
          </cell>
        </row>
        <row r="17">
          <cell r="B17"/>
          <cell r="C17"/>
          <cell r="D17"/>
          <cell r="E17"/>
          <cell r="F17"/>
          <cell r="G17" t="str">
            <v/>
          </cell>
          <cell r="H17" t="str">
            <v/>
          </cell>
          <cell r="I17" t="str">
            <v/>
          </cell>
          <cell r="J17" t="str">
            <v/>
          </cell>
          <cell r="K17" t="str">
            <v/>
          </cell>
          <cell r="L17" t="str">
            <v/>
          </cell>
          <cell r="M17" t="str">
            <v/>
          </cell>
          <cell r="N17" t="str">
            <v/>
          </cell>
          <cell r="O17" t="str">
            <v/>
          </cell>
          <cell r="P17" t="str">
            <v/>
          </cell>
          <cell r="Q17" t="str">
            <v/>
          </cell>
          <cell r="R17" t="str">
            <v/>
          </cell>
        </row>
        <row r="18">
          <cell r="B18"/>
          <cell r="C18"/>
          <cell r="D18"/>
          <cell r="E18"/>
          <cell r="F18"/>
          <cell r="G18" t="str">
            <v/>
          </cell>
          <cell r="H18" t="str">
            <v/>
          </cell>
          <cell r="I18" t="str">
            <v/>
          </cell>
          <cell r="J18" t="str">
            <v/>
          </cell>
          <cell r="K18" t="str">
            <v/>
          </cell>
          <cell r="L18" t="str">
            <v/>
          </cell>
          <cell r="M18" t="str">
            <v/>
          </cell>
          <cell r="N18" t="str">
            <v/>
          </cell>
          <cell r="O18" t="str">
            <v/>
          </cell>
          <cell r="P18" t="str">
            <v/>
          </cell>
          <cell r="Q18" t="str">
            <v/>
          </cell>
          <cell r="R18" t="str">
            <v/>
          </cell>
        </row>
        <row r="19">
          <cell r="B19"/>
          <cell r="C19"/>
          <cell r="D19"/>
          <cell r="E19"/>
          <cell r="F19"/>
          <cell r="G19" t="str">
            <v/>
          </cell>
          <cell r="H19" t="str">
            <v/>
          </cell>
          <cell r="I19" t="str">
            <v/>
          </cell>
          <cell r="J19" t="str">
            <v/>
          </cell>
          <cell r="K19" t="str">
            <v/>
          </cell>
          <cell r="L19" t="str">
            <v/>
          </cell>
          <cell r="M19" t="str">
            <v/>
          </cell>
          <cell r="N19" t="str">
            <v/>
          </cell>
          <cell r="O19" t="str">
            <v/>
          </cell>
          <cell r="P19" t="str">
            <v/>
          </cell>
          <cell r="Q19" t="str">
            <v/>
          </cell>
          <cell r="R19" t="str">
            <v/>
          </cell>
        </row>
        <row r="20">
          <cell r="B20"/>
          <cell r="C20"/>
          <cell r="D20"/>
          <cell r="E20"/>
          <cell r="F20"/>
          <cell r="G20" t="str">
            <v/>
          </cell>
          <cell r="H20" t="str">
            <v/>
          </cell>
          <cell r="I20" t="str">
            <v/>
          </cell>
          <cell r="J20" t="str">
            <v/>
          </cell>
          <cell r="K20" t="str">
            <v/>
          </cell>
          <cell r="L20" t="str">
            <v/>
          </cell>
          <cell r="M20" t="str">
            <v/>
          </cell>
          <cell r="N20" t="str">
            <v/>
          </cell>
          <cell r="O20" t="str">
            <v/>
          </cell>
          <cell r="P20" t="str">
            <v/>
          </cell>
          <cell r="Q20" t="str">
            <v/>
          </cell>
          <cell r="R20" t="str">
            <v/>
          </cell>
        </row>
        <row r="21">
          <cell r="B21"/>
          <cell r="C21"/>
          <cell r="D21"/>
          <cell r="E21"/>
          <cell r="F21"/>
          <cell r="G21" t="str">
            <v/>
          </cell>
          <cell r="H21" t="str">
            <v/>
          </cell>
          <cell r="I21" t="str">
            <v/>
          </cell>
          <cell r="J21" t="str">
            <v/>
          </cell>
          <cell r="K21" t="str">
            <v/>
          </cell>
          <cell r="L21" t="str">
            <v/>
          </cell>
          <cell r="M21" t="str">
            <v/>
          </cell>
          <cell r="N21" t="str">
            <v/>
          </cell>
          <cell r="O21" t="str">
            <v/>
          </cell>
          <cell r="P21" t="str">
            <v/>
          </cell>
          <cell r="Q21" t="str">
            <v/>
          </cell>
          <cell r="R21" t="str">
            <v/>
          </cell>
        </row>
        <row r="22">
          <cell r="B22"/>
          <cell r="C22"/>
          <cell r="D22"/>
          <cell r="E22"/>
          <cell r="F22"/>
          <cell r="G22" t="str">
            <v/>
          </cell>
          <cell r="H22" t="str">
            <v/>
          </cell>
          <cell r="I22" t="str">
            <v/>
          </cell>
          <cell r="J22" t="str">
            <v/>
          </cell>
          <cell r="K22" t="str">
            <v/>
          </cell>
          <cell r="L22" t="str">
            <v/>
          </cell>
          <cell r="M22" t="str">
            <v/>
          </cell>
          <cell r="N22" t="str">
            <v/>
          </cell>
          <cell r="O22" t="str">
            <v/>
          </cell>
          <cell r="P22" t="str">
            <v/>
          </cell>
          <cell r="Q22" t="str">
            <v/>
          </cell>
          <cell r="R22" t="str">
            <v/>
          </cell>
        </row>
        <row r="23">
          <cell r="B23"/>
          <cell r="C23"/>
          <cell r="D23"/>
          <cell r="E23"/>
          <cell r="F23"/>
          <cell r="G23" t="str">
            <v/>
          </cell>
          <cell r="H23" t="str">
            <v/>
          </cell>
          <cell r="I23" t="str">
            <v/>
          </cell>
          <cell r="J23" t="str">
            <v/>
          </cell>
          <cell r="K23" t="str">
            <v/>
          </cell>
          <cell r="L23" t="str">
            <v/>
          </cell>
          <cell r="M23" t="str">
            <v/>
          </cell>
          <cell r="N23" t="str">
            <v/>
          </cell>
          <cell r="O23" t="str">
            <v/>
          </cell>
          <cell r="P23" t="str">
            <v/>
          </cell>
          <cell r="Q23" t="str">
            <v/>
          </cell>
          <cell r="R23" t="str">
            <v/>
          </cell>
        </row>
        <row r="24">
          <cell r="B24"/>
          <cell r="C24"/>
          <cell r="D24"/>
          <cell r="E24"/>
          <cell r="F24"/>
          <cell r="G24" t="str">
            <v/>
          </cell>
          <cell r="H24" t="str">
            <v/>
          </cell>
          <cell r="I24" t="str">
            <v/>
          </cell>
          <cell r="J24" t="str">
            <v/>
          </cell>
          <cell r="K24" t="str">
            <v/>
          </cell>
          <cell r="L24" t="str">
            <v/>
          </cell>
          <cell r="M24" t="str">
            <v/>
          </cell>
          <cell r="N24" t="str">
            <v/>
          </cell>
          <cell r="O24" t="str">
            <v/>
          </cell>
          <cell r="P24" t="str">
            <v/>
          </cell>
          <cell r="Q24" t="str">
            <v/>
          </cell>
          <cell r="R24" t="str">
            <v/>
          </cell>
        </row>
        <row r="25">
          <cell r="B25"/>
          <cell r="C25"/>
          <cell r="D25"/>
          <cell r="E25"/>
          <cell r="F25"/>
          <cell r="G25" t="str">
            <v/>
          </cell>
          <cell r="H25" t="str">
            <v/>
          </cell>
          <cell r="I25" t="str">
            <v/>
          </cell>
          <cell r="J25" t="str">
            <v/>
          </cell>
          <cell r="K25" t="str">
            <v/>
          </cell>
          <cell r="L25" t="str">
            <v/>
          </cell>
          <cell r="M25" t="str">
            <v/>
          </cell>
          <cell r="N25" t="str">
            <v/>
          </cell>
          <cell r="O25" t="str">
            <v/>
          </cell>
          <cell r="P25" t="str">
            <v/>
          </cell>
          <cell r="Q25" t="str">
            <v/>
          </cell>
          <cell r="R25" t="str">
            <v/>
          </cell>
        </row>
        <row r="26">
          <cell r="B26"/>
          <cell r="C26"/>
          <cell r="D26"/>
          <cell r="E26"/>
          <cell r="F26"/>
          <cell r="G26" t="str">
            <v/>
          </cell>
          <cell r="H26" t="str">
            <v/>
          </cell>
          <cell r="I26" t="str">
            <v/>
          </cell>
          <cell r="J26" t="str">
            <v/>
          </cell>
          <cell r="K26" t="str">
            <v/>
          </cell>
          <cell r="L26" t="str">
            <v/>
          </cell>
          <cell r="M26" t="str">
            <v/>
          </cell>
          <cell r="N26" t="str">
            <v/>
          </cell>
          <cell r="O26" t="str">
            <v/>
          </cell>
          <cell r="P26" t="str">
            <v/>
          </cell>
          <cell r="Q26" t="str">
            <v/>
          </cell>
          <cell r="R26" t="str">
            <v/>
          </cell>
        </row>
        <row r="27">
          <cell r="B27"/>
          <cell r="C27"/>
          <cell r="D27"/>
          <cell r="E27"/>
          <cell r="F27"/>
          <cell r="G27" t="str">
            <v/>
          </cell>
          <cell r="H27" t="str">
            <v/>
          </cell>
          <cell r="I27" t="str">
            <v/>
          </cell>
          <cell r="J27" t="str">
            <v/>
          </cell>
          <cell r="K27" t="str">
            <v/>
          </cell>
          <cell r="L27" t="str">
            <v/>
          </cell>
          <cell r="M27" t="str">
            <v/>
          </cell>
          <cell r="N27" t="str">
            <v/>
          </cell>
          <cell r="O27" t="str">
            <v/>
          </cell>
          <cell r="P27" t="str">
            <v/>
          </cell>
          <cell r="Q27" t="str">
            <v/>
          </cell>
          <cell r="R27" t="str">
            <v/>
          </cell>
        </row>
        <row r="28">
          <cell r="B28"/>
          <cell r="C28"/>
          <cell r="D28"/>
          <cell r="E28"/>
          <cell r="F28"/>
          <cell r="G28" t="str">
            <v/>
          </cell>
          <cell r="H28" t="str">
            <v/>
          </cell>
          <cell r="I28" t="str">
            <v/>
          </cell>
          <cell r="J28" t="str">
            <v/>
          </cell>
          <cell r="K28" t="str">
            <v/>
          </cell>
          <cell r="L28" t="str">
            <v/>
          </cell>
          <cell r="M28" t="str">
            <v/>
          </cell>
          <cell r="N28" t="str">
            <v/>
          </cell>
          <cell r="O28" t="str">
            <v/>
          </cell>
          <cell r="P28" t="str">
            <v/>
          </cell>
          <cell r="Q28" t="str">
            <v/>
          </cell>
          <cell r="R28" t="str">
            <v/>
          </cell>
        </row>
        <row r="29">
          <cell r="B29"/>
          <cell r="C29"/>
          <cell r="D29"/>
          <cell r="E29"/>
          <cell r="F29"/>
          <cell r="G29" t="str">
            <v/>
          </cell>
          <cell r="H29" t="str">
            <v/>
          </cell>
          <cell r="I29" t="str">
            <v/>
          </cell>
          <cell r="J29" t="str">
            <v/>
          </cell>
          <cell r="K29" t="str">
            <v/>
          </cell>
          <cell r="L29" t="str">
            <v/>
          </cell>
          <cell r="M29" t="str">
            <v/>
          </cell>
          <cell r="N29" t="str">
            <v/>
          </cell>
          <cell r="O29" t="str">
            <v/>
          </cell>
          <cell r="P29" t="str">
            <v/>
          </cell>
          <cell r="Q29" t="str">
            <v/>
          </cell>
          <cell r="R29" t="str">
            <v/>
          </cell>
        </row>
        <row r="30">
          <cell r="B30"/>
          <cell r="C30"/>
          <cell r="D30"/>
          <cell r="E30"/>
          <cell r="F30"/>
          <cell r="G30" t="str">
            <v/>
          </cell>
          <cell r="H30" t="str">
            <v/>
          </cell>
          <cell r="I30" t="str">
            <v/>
          </cell>
          <cell r="J30" t="str">
            <v/>
          </cell>
          <cell r="K30" t="str">
            <v/>
          </cell>
          <cell r="L30" t="str">
            <v/>
          </cell>
          <cell r="M30" t="str">
            <v/>
          </cell>
          <cell r="N30" t="str">
            <v/>
          </cell>
          <cell r="O30" t="str">
            <v/>
          </cell>
          <cell r="P30" t="str">
            <v/>
          </cell>
          <cell r="Q30" t="str">
            <v/>
          </cell>
          <cell r="R30" t="str">
            <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io farmacéutico 2019"/>
      <sheetName val="Servicio farmacéutico 2020"/>
      <sheetName val="PM Gestión Servicio Farmacéutic"/>
      <sheetName val="Cumplimiento"/>
      <sheetName val="Instructivo"/>
      <sheetName val="Tabla informe"/>
      <sheetName val="Hoja2"/>
    </sheetNames>
    <sheetDataSet>
      <sheetData sheetId="0"/>
      <sheetData sheetId="1"/>
      <sheetData sheetId="2"/>
      <sheetData sheetId="3">
        <row r="6">
          <cell r="B6" t="str">
            <v>Auditoría Interna Proceso Gestión Servicio Farmacéutico 2019</v>
          </cell>
          <cell r="C6">
            <v>8</v>
          </cell>
          <cell r="D6">
            <v>0</v>
          </cell>
          <cell r="E6">
            <v>45226</v>
          </cell>
          <cell r="F6" t="str">
            <v>SI</v>
          </cell>
          <cell r="G6">
            <v>1</v>
          </cell>
          <cell r="H6">
            <v>15</v>
          </cell>
          <cell r="I6">
            <v>0</v>
          </cell>
          <cell r="J6">
            <v>0</v>
          </cell>
          <cell r="K6">
            <v>15</v>
          </cell>
          <cell r="L6">
            <v>0</v>
          </cell>
          <cell r="M6">
            <v>0</v>
          </cell>
          <cell r="N6">
            <v>0</v>
          </cell>
          <cell r="O6">
            <v>1</v>
          </cell>
          <cell r="P6">
            <v>0</v>
          </cell>
        </row>
        <row r="7">
          <cell r="B7" t="str">
            <v>Auditoría Interna Proceso Atención Integral Farmacéutica 2020</v>
          </cell>
          <cell r="C7">
            <v>4</v>
          </cell>
          <cell r="D7">
            <v>0</v>
          </cell>
          <cell r="E7">
            <v>45226</v>
          </cell>
          <cell r="F7" t="str">
            <v>SI</v>
          </cell>
          <cell r="G7">
            <v>2</v>
          </cell>
          <cell r="H7">
            <v>5</v>
          </cell>
          <cell r="I7">
            <v>0</v>
          </cell>
          <cell r="J7">
            <v>4</v>
          </cell>
          <cell r="K7">
            <v>1</v>
          </cell>
          <cell r="L7">
            <v>0</v>
          </cell>
          <cell r="M7">
            <v>0</v>
          </cell>
          <cell r="N7">
            <v>0.8</v>
          </cell>
          <cell r="O7">
            <v>0.2</v>
          </cell>
          <cell r="P7">
            <v>0</v>
          </cell>
        </row>
        <row r="8">
          <cell r="B8" t="str">
            <v>Auditoría Interna Gestión de los Medicamentos de Control Especial en las UH de la ESE Metrosalud 2022</v>
          </cell>
          <cell r="C8">
            <v>1</v>
          </cell>
          <cell r="D8">
            <v>0</v>
          </cell>
          <cell r="E8"/>
          <cell r="F8" t="str">
            <v>NO</v>
          </cell>
          <cell r="G8" t="str">
            <v/>
          </cell>
          <cell r="H8">
            <v>0</v>
          </cell>
          <cell r="I8">
            <v>0</v>
          </cell>
          <cell r="J8">
            <v>0</v>
          </cell>
          <cell r="K8">
            <v>0</v>
          </cell>
          <cell r="L8">
            <v>0</v>
          </cell>
          <cell r="M8" t="str">
            <v>-</v>
          </cell>
          <cell r="N8" t="str">
            <v>-</v>
          </cell>
          <cell r="O8" t="str">
            <v>-</v>
          </cell>
          <cell r="P8">
            <v>0</v>
          </cell>
        </row>
        <row r="9">
          <cell r="B9" t="str">
            <v>Auditoría Interna Gestión Servicio Farmacéutico - Demanda no atendida 2023</v>
          </cell>
          <cell r="C9">
            <v>1</v>
          </cell>
          <cell r="D9">
            <v>0</v>
          </cell>
          <cell r="E9"/>
          <cell r="F9" t="str">
            <v>NO</v>
          </cell>
          <cell r="G9" t="str">
            <v/>
          </cell>
          <cell r="H9">
            <v>0</v>
          </cell>
          <cell r="I9">
            <v>0</v>
          </cell>
          <cell r="J9">
            <v>0</v>
          </cell>
          <cell r="K9">
            <v>0</v>
          </cell>
          <cell r="L9">
            <v>0</v>
          </cell>
          <cell r="M9" t="str">
            <v>-</v>
          </cell>
          <cell r="N9" t="str">
            <v>-</v>
          </cell>
          <cell r="O9" t="str">
            <v>-</v>
          </cell>
          <cell r="P9">
            <v>0</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4</v>
          </cell>
          <cell r="C26">
            <v>14</v>
          </cell>
          <cell r="D26">
            <v>0</v>
          </cell>
          <cell r="E26" t="str">
            <v>-</v>
          </cell>
          <cell r="F26">
            <v>0.5</v>
          </cell>
          <cell r="G26" t="str">
            <v>-</v>
          </cell>
          <cell r="H26">
            <v>20</v>
          </cell>
          <cell r="I26">
            <v>0</v>
          </cell>
          <cell r="J26">
            <v>4</v>
          </cell>
          <cell r="K26">
            <v>16</v>
          </cell>
          <cell r="L26">
            <v>0</v>
          </cell>
          <cell r="M26">
            <v>0</v>
          </cell>
          <cell r="N26">
            <v>0.2</v>
          </cell>
          <cell r="O26">
            <v>0.8</v>
          </cell>
          <cell r="P26">
            <v>0</v>
          </cell>
        </row>
        <row r="27">
          <cell r="B27"/>
          <cell r="I27"/>
          <cell r="J27"/>
        </row>
        <row r="28">
          <cell r="B28"/>
          <cell r="F28"/>
        </row>
        <row r="29">
          <cell r="B29"/>
          <cell r="F29"/>
        </row>
        <row r="30">
          <cell r="B30"/>
          <cell r="F30"/>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Juridica 2021"/>
      <sheetName val="PM Gestión Jurídica"/>
      <sheetName val="Cumplimiento"/>
      <sheetName val="Instructivo"/>
      <sheetName val="Tabla informe"/>
      <sheetName val="Hoja2"/>
    </sheetNames>
    <sheetDataSet>
      <sheetData sheetId="0"/>
      <sheetData sheetId="1"/>
      <sheetData sheetId="2">
        <row r="6">
          <cell r="B6" t="str">
            <v>Auditoria Interna Proceso de Gestión Jurídica 2019</v>
          </cell>
          <cell r="C6">
            <v>4</v>
          </cell>
          <cell r="D6">
            <v>0</v>
          </cell>
          <cell r="E6"/>
          <cell r="F6" t="str">
            <v>NO</v>
          </cell>
          <cell r="G6" t="str">
            <v/>
          </cell>
          <cell r="H6">
            <v>0</v>
          </cell>
          <cell r="I6">
            <v>0</v>
          </cell>
          <cell r="J6">
            <v>0</v>
          </cell>
          <cell r="K6">
            <v>0</v>
          </cell>
          <cell r="L6">
            <v>0</v>
          </cell>
          <cell r="M6" t="str">
            <v>-</v>
          </cell>
          <cell r="N6" t="str">
            <v>-</v>
          </cell>
          <cell r="O6" t="str">
            <v>-</v>
          </cell>
          <cell r="P6">
            <v>0</v>
          </cell>
        </row>
        <row r="7">
          <cell r="B7" t="str">
            <v>Auditoria Interna Proceso de Gestión Jurídica 2021</v>
          </cell>
          <cell r="C7">
            <v>4</v>
          </cell>
          <cell r="D7">
            <v>0</v>
          </cell>
          <cell r="E7"/>
          <cell r="F7" t="str">
            <v>SI</v>
          </cell>
          <cell r="G7">
            <v>0</v>
          </cell>
          <cell r="H7">
            <v>15</v>
          </cell>
          <cell r="I7">
            <v>0</v>
          </cell>
          <cell r="J7">
            <v>0</v>
          </cell>
          <cell r="K7">
            <v>0</v>
          </cell>
          <cell r="L7">
            <v>15</v>
          </cell>
          <cell r="M7" t="str">
            <v>-</v>
          </cell>
          <cell r="N7" t="str">
            <v>-</v>
          </cell>
          <cell r="O7" t="str">
            <v>-</v>
          </cell>
          <cell r="P7">
            <v>0</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2</v>
          </cell>
          <cell r="C26">
            <v>8</v>
          </cell>
          <cell r="D26">
            <v>0</v>
          </cell>
          <cell r="E26" t="str">
            <v>-</v>
          </cell>
          <cell r="F26">
            <v>0.5</v>
          </cell>
          <cell r="G26" t="str">
            <v>-</v>
          </cell>
          <cell r="H26">
            <v>15</v>
          </cell>
          <cell r="I26">
            <v>0</v>
          </cell>
          <cell r="J26">
            <v>0</v>
          </cell>
          <cell r="K26">
            <v>0</v>
          </cell>
          <cell r="L26">
            <v>15</v>
          </cell>
          <cell r="M26" t="str">
            <v>-</v>
          </cell>
          <cell r="N26" t="str">
            <v>-</v>
          </cell>
          <cell r="O26" t="str">
            <v>-</v>
          </cell>
          <cell r="P26">
            <v>0</v>
          </cell>
        </row>
        <row r="27">
          <cell r="B27"/>
        </row>
        <row r="28">
          <cell r="B28"/>
          <cell r="F28"/>
        </row>
        <row r="29">
          <cell r="B29"/>
          <cell r="F29"/>
        </row>
        <row r="30">
          <cell r="B30"/>
          <cell r="F30"/>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oratorio clínico 2019"/>
      <sheetName val="Laboratorio clínico 2020"/>
      <sheetName val="PM Pr Atención en Laboratorio"/>
      <sheetName val="Cumplimiento"/>
      <sheetName val="Instructivo"/>
      <sheetName val="Tabla informe"/>
      <sheetName val="Hoja2"/>
    </sheetNames>
    <sheetDataSet>
      <sheetData sheetId="0"/>
      <sheetData sheetId="1"/>
      <sheetData sheetId="2"/>
      <sheetData sheetId="3">
        <row r="6">
          <cell r="B6" t="str">
            <v>Auditoría Interna Proceso Atención en Laboratorio Clínico 2019</v>
          </cell>
          <cell r="C6">
            <v>8</v>
          </cell>
          <cell r="D6">
            <v>0</v>
          </cell>
          <cell r="E6">
            <v>45229</v>
          </cell>
          <cell r="F6" t="str">
            <v>SI</v>
          </cell>
          <cell r="G6">
            <v>1</v>
          </cell>
          <cell r="H6">
            <v>8</v>
          </cell>
          <cell r="I6">
            <v>0</v>
          </cell>
          <cell r="J6">
            <v>0</v>
          </cell>
          <cell r="K6">
            <v>8</v>
          </cell>
          <cell r="L6">
            <v>0</v>
          </cell>
          <cell r="M6">
            <v>0</v>
          </cell>
          <cell r="N6">
            <v>0</v>
          </cell>
          <cell r="O6">
            <v>1</v>
          </cell>
          <cell r="P6">
            <v>0</v>
          </cell>
        </row>
        <row r="7">
          <cell r="B7" t="str">
            <v>Auditoría Interna Proceso Atención en Laboratorio Clínico 2020</v>
          </cell>
          <cell r="C7">
            <v>4</v>
          </cell>
          <cell r="D7">
            <v>0</v>
          </cell>
          <cell r="E7">
            <v>45229</v>
          </cell>
          <cell r="F7" t="str">
            <v>SI</v>
          </cell>
          <cell r="G7">
            <v>2</v>
          </cell>
          <cell r="H7">
            <v>5</v>
          </cell>
          <cell r="I7">
            <v>0</v>
          </cell>
          <cell r="J7">
            <v>5</v>
          </cell>
          <cell r="K7">
            <v>0</v>
          </cell>
          <cell r="L7">
            <v>0</v>
          </cell>
          <cell r="M7">
            <v>0</v>
          </cell>
          <cell r="N7">
            <v>1</v>
          </cell>
          <cell r="O7">
            <v>0</v>
          </cell>
          <cell r="P7">
            <v>0</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2</v>
          </cell>
          <cell r="C26">
            <v>12</v>
          </cell>
          <cell r="D26">
            <v>0</v>
          </cell>
          <cell r="E26" t="str">
            <v>-</v>
          </cell>
          <cell r="F26">
            <v>1</v>
          </cell>
          <cell r="G26" t="str">
            <v>-</v>
          </cell>
          <cell r="H26">
            <v>13</v>
          </cell>
          <cell r="I26">
            <v>0</v>
          </cell>
          <cell r="J26">
            <v>5</v>
          </cell>
          <cell r="K26">
            <v>8</v>
          </cell>
          <cell r="L26">
            <v>0</v>
          </cell>
          <cell r="M26">
            <v>0</v>
          </cell>
          <cell r="N26">
            <v>0.38461538461538464</v>
          </cell>
          <cell r="O26">
            <v>0.61538461538461542</v>
          </cell>
          <cell r="P26">
            <v>0</v>
          </cell>
        </row>
        <row r="27">
          <cell r="B27"/>
          <cell r="C27"/>
          <cell r="D27"/>
          <cell r="E27"/>
          <cell r="F27"/>
          <cell r="G27"/>
          <cell r="H27"/>
          <cell r="I27"/>
          <cell r="J27"/>
          <cell r="K27"/>
          <cell r="L27"/>
          <cell r="M27"/>
          <cell r="P27"/>
        </row>
        <row r="28">
          <cell r="B28"/>
          <cell r="F28"/>
        </row>
        <row r="29">
          <cell r="B29"/>
          <cell r="F29"/>
        </row>
        <row r="30">
          <cell r="B30"/>
          <cell r="F30"/>
        </row>
      </sheetData>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ención ambulatoria 2019"/>
      <sheetName val="PM Atención Ambulatoria"/>
      <sheetName val="Instructivo"/>
      <sheetName val="Cumplimiento"/>
      <sheetName val="Hoja2"/>
      <sheetName val="Plan de Mejora"/>
    </sheetNames>
    <sheetDataSet>
      <sheetData sheetId="0"/>
      <sheetData sheetId="1">
        <row r="2">
          <cell r="B2" t="str">
            <v>Código:</v>
          </cell>
        </row>
        <row r="3">
          <cell r="B3" t="str">
            <v>Versión:</v>
          </cell>
        </row>
        <row r="4">
          <cell r="B4" t="str">
            <v>Vigente a partir de:</v>
          </cell>
        </row>
        <row r="5">
          <cell r="B5" t="str">
            <v>Página:</v>
          </cell>
        </row>
        <row r="7">
          <cell r="B7" t="str">
            <v>FORMULACIÓN</v>
          </cell>
        </row>
        <row r="8">
          <cell r="B8" t="str">
            <v>NOMBRE DE LA AUDITORÍA O DE LA ACTIVIDAD
(Fuente)</v>
          </cell>
          <cell r="E8" t="str">
            <v>OPORTUNIDAD DE MEJORAMIENTO</v>
          </cell>
          <cell r="I8" t="str">
            <v>ACCIÓN DE MEJORAMIENTO</v>
          </cell>
        </row>
        <row r="9">
          <cell r="B9" t="str">
            <v>Auditoría Interna Proceso Atención Ambulatoria 2019</v>
          </cell>
          <cell r="E9" t="str">
            <v>En la asignación de citas ambulatorias no se registra la demanda no atendida como lo establece el Procedimiento Asignación de Citas de Consulta Ambulatoria PR1301010, V5 de 2018, ni el diligenciamiento del formato lo cual afecta la medición de la oportunidad real de la atención.</v>
          </cell>
          <cell r="I9" t="str">
            <v>Activar la opción de registro de la demanda no atendida en el aplicativo web y SAFIX, con el fin de medirla e inciar las acciones que permitan corregir las desviaciones</v>
          </cell>
          <cell r="BZ9" t="str">
            <v>Auditoría Interna Proceso Atención Ambulatoria 2019En la asignación de citas ambulatorias no se registra la demanda no atendida como lo establece el Procedimiento Asignación de Citas de Consulta Ambulatoria PR1301010, V5 de 2018, ni el diligenciamiento del formato lo cual afecta la medición de la oportunidad real de la atención.</v>
          </cell>
        </row>
        <row r="10">
          <cell r="B10" t="str">
            <v>Auditoría Interna Proceso Atención Ambulatoria 2019</v>
          </cell>
          <cell r="E10" t="str">
            <v>En la ESE Metrosalud con corte a Noviembre 30 de 2019, el tiempo de espera para la asignación de cita de medicina general se encontraba de acuerdo a la información suministrada a 4.6 días; incumpliendo la meta establecida en el Documento técnico de Estándares de Oportunidad y Puntualidad ambulatoria y Hospitalaria DT0103010118 V.1/2018, que establece una oportunidad a 3 días.</v>
          </cell>
          <cell r="I10" t="str">
            <v xml:space="preserve">Estandarizar los criterios para la medición del indicador de oportunidad en asignación de citas en la red.
Establecer las acciones de mejoramiento cuando de presente incumplimiento de la meta establecida </v>
          </cell>
          <cell r="BZ10" t="str">
            <v>Auditoría Interna Proceso Atención Ambulatoria 2019En la ESE Metrosalud con corte a Noviembre 30 de 2019, el tiempo de espera para la asignación de cita de medicina general se encontraba de acuerdo a la información suministrada a 4.6 días; incumpliendo la meta establecida en el Documento técnico de Estándares de Oportunidad y Puntualidad ambulatoria y Hospitalaria DT0103010118 V.1/2018, que establece una oportunidad a 3 días.</v>
          </cell>
        </row>
        <row r="11">
          <cell r="B11" t="str">
            <v>Auditoría Interna Proceso Atención Ambulatoria 2019</v>
          </cell>
          <cell r="E11" t="str">
            <v>En el proceso de admisiones y asignación de citas no se realiza en forma sistemática: La identificación correcta, la validación de derechos y actualización de los datos del usuario de acuerdo a lo definido en el Procedimiento de Asignación de Cita Ambulatoria PR1301010, V5 de 2018, lo cual puede originar pérdidas económicas por prestación de servicios a usuarios no identificados correctamente, ni con derechos por la afiliación al sistema.</v>
          </cell>
          <cell r="I11" t="str">
            <v>Fortalecer en el personal de los servicios de admisiones y demas encargado de la asignacion de citas el procedimiento de asignacion de cita ambulatoria en  las actividades de: La identificación correcta, la validación de derechos y actualización de los datos del usuario y las demas asociadas al procedimiento</v>
          </cell>
          <cell r="BZ11" t="str">
            <v>Auditoría Interna Proceso Atención Ambulatoria 2019En el proceso de admisiones y asignación de citas no se realiza en forma sistemática: La identificación correcta, la validación de derechos y actualización de los datos del usuario de acuerdo a lo definido en el Procedimiento de Asignación de Cita Ambulatoria PR1301010, V5 de 2018, lo cual puede originar pérdidas económicas por prestación de servicios a usuarios no identificados correctamente, ni con derechos por la afiliación al sistema.</v>
          </cell>
        </row>
        <row r="12">
          <cell r="B12" t="str">
            <v>Auditoría Interna Proceso Atención Ambulatoria 2019</v>
          </cell>
          <cell r="E12" t="str">
            <v xml:space="preserve">El procedimiento asignación de citas ambulatorias PR130101, V5 de 2018, establece la modalidad telefónica para la asignación de citas, pero en la actualidad no se han destinado los recursos para implementarla en las Unidades Hospitalarias  y Centros de Salud, generando una barrera de acceso para el paciente. </v>
          </cell>
          <cell r="I12" t="str">
            <v>Considerar la implementación de una línea de atención a los usuarios para la asignación, cancelación o reprogramación oportuna de todo el portafolio de servicios de la Entidad (call center).</v>
          </cell>
          <cell r="BZ12" t="str">
            <v xml:space="preserve">Auditoría Interna Proceso Atención Ambulatoria 2019El procedimiento asignación de citas ambulatorias PR130101, V5 de 2018, establece la modalidad telefónica para la asignación de citas, pero en la actualidad no se han destinado los recursos para implementarla en las Unidades Hospitalarias  y Centros de Salud, generando una barrera de acceso para el paciente. </v>
          </cell>
        </row>
        <row r="13">
          <cell r="B13" t="str">
            <v>Auditoría Interna Proceso Atención Ambulatoria 2019</v>
          </cell>
          <cell r="E13" t="str">
            <v xml:space="preserve">En los servicios de Admisiones y Facturación de las Unidades Hospitalarias   auditadas, no se conoce, ni se aplica el formato de negación de servicios conforme lo definido en el Circular Única 047 de 2007 de la Superintendencia de Salud, el decreto 4747 de 2007 y la Resolución 3047 de 2008, en caso que la Entidad no pueda prestar algún servicio o entregar los medicamentos, lo cual genera un incumplimiento legal y posibles sanciones. </v>
          </cell>
          <cell r="I13" t="str">
            <v>Implementar con el apoyo del area de sistemas la negacion de servicios de salud generada desde el aplicativo SAFIX de acuerdo a lo establecido en la normatividad vigente</v>
          </cell>
          <cell r="BZ13" t="str">
            <v xml:space="preserve">Auditoría Interna Proceso Atención Ambulatoria 2019En los servicios de Admisiones y Facturación de las Unidades Hospitalarias   auditadas, no se conoce, ni se aplica el formato de negación de servicios conforme lo definido en el Circular Única 047 de 2007 de la Superintendencia de Salud, el decreto 4747 de 2007 y la Resolución 3047 de 2008, en caso que la Entidad no pueda prestar algún servicio o entregar los medicamentos, lo cual genera un incumplimiento legal y posibles sanciones. </v>
          </cell>
        </row>
        <row r="14">
          <cell r="B14" t="str">
            <v>Auditoría Interna Proceso Atención Ambulatoria 2019</v>
          </cell>
          <cell r="E14" t="str">
            <v xml:space="preserve">Las autorizaciones o remisiones electivas ordenadas a los usuarios deben ser realizados por la Institución prestadora de servicios de salud y no transferirse este trámite al usuario como lo ordena el capítulo VIII, Articulo 120 del Decreto Ley 019 de 2012, Ley anti trámites, favoreciendo así la integralidad y continuación de las atenciones. </v>
          </cell>
          <cell r="I14" t="str">
            <v>Implementar con el apoyo del area de sistemas y articulados con las plataformas informaticas de los aseguradores, el tramite de las autorizaciones electivas de servicios solicitados en la ESE durante el  proceso de atencion, con el fin de dar cumplimiento a la normatividad establecida.</v>
          </cell>
          <cell r="BZ14" t="str">
            <v xml:space="preserve">Auditoría Interna Proceso Atención Ambulatoria 2019Las autorizaciones o remisiones electivas ordenadas a los usuarios deben ser realizados por la Institución prestadora de servicios de salud y no transferirse este trámite al usuario como lo ordena el capítulo VIII, Articulo 120 del Decreto Ley 019 de 2012, Ley anti trámites, favoreciendo así la integralidad y continuación de las atenciones. </v>
          </cell>
        </row>
        <row r="15">
          <cell r="BZ15" t="str">
            <v/>
          </cell>
        </row>
        <row r="16">
          <cell r="BZ16" t="str">
            <v/>
          </cell>
        </row>
        <row r="17">
          <cell r="BZ17" t="str">
            <v/>
          </cell>
        </row>
        <row r="18">
          <cell r="BZ18" t="str">
            <v/>
          </cell>
        </row>
        <row r="19">
          <cell r="BZ19" t="str">
            <v/>
          </cell>
        </row>
        <row r="20">
          <cell r="BZ20" t="str">
            <v/>
          </cell>
        </row>
        <row r="21">
          <cell r="BZ21" t="str">
            <v/>
          </cell>
        </row>
        <row r="22">
          <cell r="BZ22" t="str">
            <v/>
          </cell>
        </row>
        <row r="23">
          <cell r="BZ23" t="str">
            <v/>
          </cell>
        </row>
        <row r="24">
          <cell r="BZ24" t="str">
            <v/>
          </cell>
        </row>
        <row r="25">
          <cell r="BZ25" t="str">
            <v/>
          </cell>
        </row>
        <row r="26">
          <cell r="BZ26" t="str">
            <v/>
          </cell>
        </row>
        <row r="27">
          <cell r="BZ27" t="str">
            <v/>
          </cell>
        </row>
        <row r="28">
          <cell r="BZ28" t="str">
            <v/>
          </cell>
        </row>
        <row r="29">
          <cell r="BZ29" t="str">
            <v/>
          </cell>
        </row>
        <row r="30">
          <cell r="BZ30" t="str">
            <v/>
          </cell>
        </row>
        <row r="31">
          <cell r="BZ31" t="str">
            <v/>
          </cell>
        </row>
        <row r="32">
          <cell r="BZ32" t="str">
            <v/>
          </cell>
        </row>
        <row r="33">
          <cell r="BZ33" t="str">
            <v/>
          </cell>
        </row>
        <row r="34">
          <cell r="BZ34" t="str">
            <v/>
          </cell>
        </row>
        <row r="35">
          <cell r="BZ35" t="str">
            <v/>
          </cell>
        </row>
        <row r="36">
          <cell r="BZ36" t="str">
            <v/>
          </cell>
        </row>
        <row r="37">
          <cell r="BZ37" t="str">
            <v/>
          </cell>
        </row>
        <row r="38">
          <cell r="BZ38" t="str">
            <v/>
          </cell>
        </row>
        <row r="39">
          <cell r="BZ39" t="str">
            <v/>
          </cell>
        </row>
        <row r="40">
          <cell r="BZ40" t="str">
            <v/>
          </cell>
        </row>
        <row r="41">
          <cell r="BZ41" t="str">
            <v/>
          </cell>
        </row>
        <row r="42">
          <cell r="BZ42" t="str">
            <v/>
          </cell>
        </row>
        <row r="43">
          <cell r="BZ43" t="str">
            <v/>
          </cell>
        </row>
        <row r="44">
          <cell r="BZ44" t="str">
            <v/>
          </cell>
        </row>
        <row r="45">
          <cell r="BZ45" t="str">
            <v/>
          </cell>
        </row>
        <row r="46">
          <cell r="BZ46" t="str">
            <v/>
          </cell>
        </row>
        <row r="47">
          <cell r="BZ47" t="str">
            <v/>
          </cell>
        </row>
        <row r="48">
          <cell r="BZ48" t="str">
            <v/>
          </cell>
        </row>
        <row r="49">
          <cell r="BZ49" t="str">
            <v/>
          </cell>
        </row>
        <row r="50">
          <cell r="BZ50" t="str">
            <v/>
          </cell>
        </row>
        <row r="51">
          <cell r="BZ51" t="str">
            <v/>
          </cell>
        </row>
        <row r="52">
          <cell r="BZ52" t="str">
            <v/>
          </cell>
        </row>
        <row r="53">
          <cell r="BZ53" t="str">
            <v/>
          </cell>
        </row>
        <row r="54">
          <cell r="BZ54" t="str">
            <v/>
          </cell>
        </row>
        <row r="55">
          <cell r="BZ55" t="str">
            <v/>
          </cell>
        </row>
        <row r="56">
          <cell r="BZ56" t="str">
            <v/>
          </cell>
        </row>
        <row r="57">
          <cell r="BZ57" t="str">
            <v/>
          </cell>
        </row>
        <row r="58">
          <cell r="BZ58" t="str">
            <v/>
          </cell>
        </row>
        <row r="59">
          <cell r="BZ59" t="str">
            <v/>
          </cell>
        </row>
        <row r="60">
          <cell r="BZ60" t="str">
            <v/>
          </cell>
        </row>
        <row r="61">
          <cell r="BZ61" t="str">
            <v/>
          </cell>
        </row>
        <row r="62">
          <cell r="BZ62" t="str">
            <v/>
          </cell>
        </row>
        <row r="63">
          <cell r="BZ63" t="str">
            <v/>
          </cell>
        </row>
        <row r="64">
          <cell r="BZ64" t="str">
            <v/>
          </cell>
        </row>
        <row r="65">
          <cell r="BZ65" t="str">
            <v/>
          </cell>
        </row>
        <row r="66">
          <cell r="BZ66" t="str">
            <v/>
          </cell>
        </row>
        <row r="67">
          <cell r="BZ67" t="str">
            <v/>
          </cell>
        </row>
        <row r="68">
          <cell r="BZ68" t="str">
            <v/>
          </cell>
        </row>
        <row r="69">
          <cell r="BZ69" t="str">
            <v/>
          </cell>
        </row>
        <row r="70">
          <cell r="BZ70" t="str">
            <v/>
          </cell>
        </row>
        <row r="71">
          <cell r="BZ71" t="str">
            <v/>
          </cell>
        </row>
        <row r="72">
          <cell r="BZ72" t="str">
            <v/>
          </cell>
        </row>
        <row r="73">
          <cell r="BZ73" t="str">
            <v/>
          </cell>
        </row>
        <row r="74">
          <cell r="BZ74" t="str">
            <v/>
          </cell>
        </row>
        <row r="75">
          <cell r="BZ75" t="str">
            <v/>
          </cell>
        </row>
        <row r="76">
          <cell r="BZ76" t="str">
            <v/>
          </cell>
        </row>
        <row r="77">
          <cell r="BZ77" t="str">
            <v/>
          </cell>
        </row>
        <row r="78">
          <cell r="BZ78" t="str">
            <v/>
          </cell>
        </row>
        <row r="79">
          <cell r="BZ79" t="str">
            <v/>
          </cell>
        </row>
        <row r="80">
          <cell r="BZ80" t="str">
            <v/>
          </cell>
        </row>
        <row r="81">
          <cell r="BZ81" t="str">
            <v/>
          </cell>
        </row>
        <row r="82">
          <cell r="BZ82" t="str">
            <v/>
          </cell>
        </row>
        <row r="83">
          <cell r="BZ83" t="str">
            <v/>
          </cell>
        </row>
        <row r="84">
          <cell r="BZ84" t="str">
            <v/>
          </cell>
        </row>
        <row r="85">
          <cell r="BZ85" t="str">
            <v/>
          </cell>
        </row>
        <row r="86">
          <cell r="BZ86" t="str">
            <v/>
          </cell>
        </row>
        <row r="87">
          <cell r="BZ87" t="str">
            <v/>
          </cell>
        </row>
        <row r="88">
          <cell r="BZ88" t="str">
            <v/>
          </cell>
        </row>
        <row r="89">
          <cell r="BZ89" t="str">
            <v/>
          </cell>
        </row>
        <row r="90">
          <cell r="BZ90" t="str">
            <v/>
          </cell>
        </row>
        <row r="91">
          <cell r="BZ91" t="str">
            <v/>
          </cell>
        </row>
        <row r="92">
          <cell r="BZ92" t="str">
            <v/>
          </cell>
        </row>
        <row r="93">
          <cell r="BZ93" t="str">
            <v/>
          </cell>
        </row>
        <row r="94">
          <cell r="BZ94" t="str">
            <v/>
          </cell>
        </row>
        <row r="95">
          <cell r="BZ95" t="str">
            <v/>
          </cell>
        </row>
        <row r="96">
          <cell r="BZ96" t="str">
            <v/>
          </cell>
        </row>
        <row r="97">
          <cell r="BZ97" t="str">
            <v/>
          </cell>
        </row>
        <row r="98">
          <cell r="BZ98" t="str">
            <v/>
          </cell>
        </row>
        <row r="99">
          <cell r="BZ99" t="str">
            <v/>
          </cell>
        </row>
        <row r="100">
          <cell r="BZ100" t="str">
            <v/>
          </cell>
        </row>
        <row r="101">
          <cell r="BZ101" t="str">
            <v/>
          </cell>
        </row>
        <row r="102">
          <cell r="BZ102" t="str">
            <v/>
          </cell>
        </row>
        <row r="103">
          <cell r="BZ103" t="str">
            <v/>
          </cell>
        </row>
        <row r="104">
          <cell r="BZ104" t="str">
            <v/>
          </cell>
        </row>
        <row r="105">
          <cell r="BZ105" t="str">
            <v/>
          </cell>
        </row>
        <row r="106">
          <cell r="BZ106" t="str">
            <v/>
          </cell>
        </row>
        <row r="107">
          <cell r="BZ107" t="str">
            <v/>
          </cell>
        </row>
        <row r="108">
          <cell r="BZ108" t="str">
            <v/>
          </cell>
        </row>
        <row r="109">
          <cell r="BZ109" t="str">
            <v/>
          </cell>
        </row>
        <row r="110">
          <cell r="BZ110" t="str">
            <v/>
          </cell>
        </row>
        <row r="111">
          <cell r="BZ111" t="str">
            <v/>
          </cell>
        </row>
        <row r="112">
          <cell r="BZ112" t="str">
            <v/>
          </cell>
        </row>
        <row r="113">
          <cell r="BZ113" t="str">
            <v/>
          </cell>
        </row>
        <row r="114">
          <cell r="BZ114" t="str">
            <v/>
          </cell>
        </row>
        <row r="115">
          <cell r="BZ115" t="str">
            <v/>
          </cell>
        </row>
        <row r="116">
          <cell r="BZ116" t="str">
            <v/>
          </cell>
        </row>
        <row r="117">
          <cell r="BZ117" t="str">
            <v/>
          </cell>
        </row>
        <row r="118">
          <cell r="BZ118" t="str">
            <v/>
          </cell>
        </row>
        <row r="119">
          <cell r="BZ119" t="str">
            <v/>
          </cell>
        </row>
        <row r="120">
          <cell r="BZ120" t="str">
            <v/>
          </cell>
        </row>
        <row r="121">
          <cell r="BZ121" t="str">
            <v/>
          </cell>
        </row>
        <row r="122">
          <cell r="BZ122" t="str">
            <v/>
          </cell>
        </row>
        <row r="123">
          <cell r="BZ123" t="str">
            <v/>
          </cell>
        </row>
        <row r="124">
          <cell r="BZ124" t="str">
            <v/>
          </cell>
        </row>
        <row r="125">
          <cell r="BZ125" t="str">
            <v/>
          </cell>
        </row>
        <row r="126">
          <cell r="BZ126" t="str">
            <v/>
          </cell>
        </row>
        <row r="127">
          <cell r="BZ127" t="str">
            <v/>
          </cell>
        </row>
        <row r="128">
          <cell r="BZ128" t="str">
            <v/>
          </cell>
        </row>
        <row r="129">
          <cell r="BZ129" t="str">
            <v/>
          </cell>
        </row>
        <row r="130">
          <cell r="BZ130" t="str">
            <v/>
          </cell>
        </row>
        <row r="131">
          <cell r="BZ131" t="str">
            <v/>
          </cell>
        </row>
        <row r="132">
          <cell r="BZ132" t="str">
            <v/>
          </cell>
        </row>
        <row r="133">
          <cell r="BZ133" t="str">
            <v/>
          </cell>
        </row>
        <row r="134">
          <cell r="BZ134" t="str">
            <v/>
          </cell>
        </row>
        <row r="135">
          <cell r="BZ135" t="str">
            <v/>
          </cell>
        </row>
        <row r="136">
          <cell r="BZ136" t="str">
            <v/>
          </cell>
        </row>
        <row r="137">
          <cell r="BZ137" t="str">
            <v/>
          </cell>
        </row>
        <row r="138">
          <cell r="BZ138" t="str">
            <v/>
          </cell>
        </row>
        <row r="139">
          <cell r="BZ139" t="str">
            <v/>
          </cell>
        </row>
        <row r="140">
          <cell r="BZ140" t="str">
            <v/>
          </cell>
        </row>
        <row r="141">
          <cell r="BZ141" t="str">
            <v/>
          </cell>
        </row>
        <row r="142">
          <cell r="BZ142" t="str">
            <v/>
          </cell>
        </row>
        <row r="143">
          <cell r="BZ143" t="str">
            <v/>
          </cell>
        </row>
        <row r="144">
          <cell r="BZ144" t="str">
            <v/>
          </cell>
        </row>
        <row r="145">
          <cell r="BZ145" t="str">
            <v/>
          </cell>
        </row>
        <row r="146">
          <cell r="BZ146" t="str">
            <v/>
          </cell>
        </row>
        <row r="147">
          <cell r="BZ147" t="str">
            <v/>
          </cell>
        </row>
        <row r="148">
          <cell r="BZ148" t="str">
            <v/>
          </cell>
        </row>
        <row r="149">
          <cell r="BZ149" t="str">
            <v/>
          </cell>
        </row>
        <row r="150">
          <cell r="BZ150" t="str">
            <v/>
          </cell>
        </row>
        <row r="151">
          <cell r="BZ151" t="str">
            <v/>
          </cell>
        </row>
        <row r="152">
          <cell r="BZ152" t="str">
            <v/>
          </cell>
        </row>
        <row r="153">
          <cell r="BZ153" t="str">
            <v/>
          </cell>
        </row>
        <row r="154">
          <cell r="BZ154" t="str">
            <v/>
          </cell>
        </row>
        <row r="155">
          <cell r="BZ155" t="str">
            <v/>
          </cell>
        </row>
        <row r="156">
          <cell r="BZ156" t="str">
            <v/>
          </cell>
        </row>
        <row r="157">
          <cell r="BZ157" t="str">
            <v/>
          </cell>
        </row>
        <row r="158">
          <cell r="BZ158" t="str">
            <v/>
          </cell>
        </row>
        <row r="159">
          <cell r="BZ159" t="str">
            <v/>
          </cell>
        </row>
        <row r="160">
          <cell r="BZ160" t="str">
            <v/>
          </cell>
        </row>
        <row r="161">
          <cell r="BZ161" t="str">
            <v/>
          </cell>
        </row>
        <row r="162">
          <cell r="BZ162" t="str">
            <v/>
          </cell>
        </row>
        <row r="163">
          <cell r="BZ163" t="str">
            <v/>
          </cell>
        </row>
        <row r="164">
          <cell r="BZ164" t="str">
            <v/>
          </cell>
        </row>
        <row r="165">
          <cell r="BZ165" t="str">
            <v/>
          </cell>
        </row>
        <row r="166">
          <cell r="BZ166" t="str">
            <v/>
          </cell>
        </row>
        <row r="167">
          <cell r="BZ167" t="str">
            <v/>
          </cell>
        </row>
        <row r="168">
          <cell r="BZ168" t="str">
            <v/>
          </cell>
        </row>
        <row r="169">
          <cell r="BZ169" t="str">
            <v/>
          </cell>
        </row>
        <row r="170">
          <cell r="BZ170" t="str">
            <v/>
          </cell>
        </row>
        <row r="171">
          <cell r="BZ171" t="str">
            <v/>
          </cell>
        </row>
        <row r="172">
          <cell r="BZ172" t="str">
            <v/>
          </cell>
        </row>
        <row r="173">
          <cell r="BZ173" t="str">
            <v/>
          </cell>
        </row>
        <row r="174">
          <cell r="BZ174" t="str">
            <v/>
          </cell>
        </row>
        <row r="175">
          <cell r="BZ175" t="str">
            <v/>
          </cell>
        </row>
        <row r="176">
          <cell r="BZ176" t="str">
            <v/>
          </cell>
        </row>
        <row r="177">
          <cell r="BZ177" t="str">
            <v/>
          </cell>
        </row>
        <row r="178">
          <cell r="BZ178" t="str">
            <v/>
          </cell>
        </row>
        <row r="179">
          <cell r="BZ179" t="str">
            <v/>
          </cell>
        </row>
        <row r="180">
          <cell r="BZ180" t="str">
            <v/>
          </cell>
        </row>
        <row r="181">
          <cell r="BZ181" t="str">
            <v/>
          </cell>
        </row>
        <row r="182">
          <cell r="BZ182" t="str">
            <v/>
          </cell>
        </row>
        <row r="183">
          <cell r="BZ183" t="str">
            <v/>
          </cell>
        </row>
        <row r="184">
          <cell r="BZ184" t="str">
            <v/>
          </cell>
        </row>
        <row r="185">
          <cell r="BZ185" t="str">
            <v/>
          </cell>
        </row>
        <row r="186">
          <cell r="BZ186" t="str">
            <v/>
          </cell>
        </row>
        <row r="187">
          <cell r="BZ187" t="str">
            <v/>
          </cell>
        </row>
        <row r="188">
          <cell r="BZ188" t="str">
            <v/>
          </cell>
        </row>
        <row r="189">
          <cell r="BZ189" t="str">
            <v/>
          </cell>
        </row>
        <row r="190">
          <cell r="BZ190" t="str">
            <v/>
          </cell>
        </row>
        <row r="191">
          <cell r="BZ191" t="str">
            <v/>
          </cell>
        </row>
        <row r="192">
          <cell r="BZ192" t="str">
            <v/>
          </cell>
        </row>
        <row r="193">
          <cell r="BZ193" t="str">
            <v/>
          </cell>
        </row>
        <row r="194">
          <cell r="BZ194" t="str">
            <v/>
          </cell>
        </row>
        <row r="195">
          <cell r="BZ195" t="str">
            <v/>
          </cell>
        </row>
        <row r="196">
          <cell r="BZ196" t="str">
            <v/>
          </cell>
        </row>
        <row r="197">
          <cell r="BZ197" t="str">
            <v/>
          </cell>
        </row>
        <row r="198">
          <cell r="BZ198" t="str">
            <v/>
          </cell>
        </row>
        <row r="199">
          <cell r="BZ199" t="str">
            <v/>
          </cell>
        </row>
        <row r="200">
          <cell r="BZ200" t="str">
            <v/>
          </cell>
        </row>
        <row r="201">
          <cell r="BZ201" t="str">
            <v/>
          </cell>
        </row>
        <row r="202">
          <cell r="BZ202" t="str">
            <v/>
          </cell>
        </row>
        <row r="203">
          <cell r="BZ203" t="str">
            <v/>
          </cell>
        </row>
        <row r="204">
          <cell r="BZ204" t="str">
            <v/>
          </cell>
        </row>
        <row r="205">
          <cell r="BZ205" t="str">
            <v/>
          </cell>
        </row>
        <row r="206">
          <cell r="BZ206" t="str">
            <v/>
          </cell>
        </row>
        <row r="207">
          <cell r="BZ207" t="str">
            <v/>
          </cell>
        </row>
        <row r="208">
          <cell r="BZ208" t="str">
            <v/>
          </cell>
        </row>
        <row r="209">
          <cell r="BZ209" t="str">
            <v/>
          </cell>
        </row>
        <row r="210">
          <cell r="BZ210" t="str">
            <v/>
          </cell>
        </row>
        <row r="211">
          <cell r="BZ211" t="str">
            <v/>
          </cell>
        </row>
        <row r="212">
          <cell r="BZ212" t="str">
            <v/>
          </cell>
        </row>
        <row r="213">
          <cell r="BZ213" t="str">
            <v/>
          </cell>
        </row>
        <row r="214">
          <cell r="BZ214" t="str">
            <v/>
          </cell>
        </row>
        <row r="215">
          <cell r="BZ215" t="str">
            <v/>
          </cell>
        </row>
        <row r="216">
          <cell r="BZ216" t="str">
            <v/>
          </cell>
        </row>
        <row r="217">
          <cell r="BZ217" t="str">
            <v/>
          </cell>
        </row>
        <row r="218">
          <cell r="BZ218" t="str">
            <v/>
          </cell>
        </row>
        <row r="219">
          <cell r="BZ219" t="str">
            <v/>
          </cell>
        </row>
        <row r="220">
          <cell r="BZ220" t="str">
            <v/>
          </cell>
        </row>
        <row r="221">
          <cell r="BZ221" t="str">
            <v/>
          </cell>
        </row>
        <row r="222">
          <cell r="BZ222" t="str">
            <v/>
          </cell>
        </row>
        <row r="223">
          <cell r="BZ223" t="str">
            <v/>
          </cell>
        </row>
        <row r="224">
          <cell r="BZ224" t="str">
            <v/>
          </cell>
        </row>
        <row r="225">
          <cell r="BZ225" t="str">
            <v/>
          </cell>
        </row>
        <row r="226">
          <cell r="BZ226" t="str">
            <v/>
          </cell>
        </row>
        <row r="227">
          <cell r="BZ227" t="str">
            <v/>
          </cell>
        </row>
        <row r="228">
          <cell r="BZ228" t="str">
            <v/>
          </cell>
        </row>
        <row r="229">
          <cell r="BZ229" t="str">
            <v/>
          </cell>
        </row>
        <row r="230">
          <cell r="BZ230" t="str">
            <v/>
          </cell>
        </row>
        <row r="231">
          <cell r="BZ231" t="str">
            <v/>
          </cell>
        </row>
        <row r="232">
          <cell r="BZ232" t="str">
            <v/>
          </cell>
        </row>
        <row r="233">
          <cell r="BZ233" t="str">
            <v/>
          </cell>
        </row>
        <row r="234">
          <cell r="BZ234" t="str">
            <v/>
          </cell>
        </row>
        <row r="235">
          <cell r="BZ235" t="str">
            <v/>
          </cell>
        </row>
        <row r="236">
          <cell r="BZ236" t="str">
            <v/>
          </cell>
        </row>
        <row r="237">
          <cell r="BZ237" t="str">
            <v/>
          </cell>
        </row>
        <row r="238">
          <cell r="BZ238" t="str">
            <v/>
          </cell>
        </row>
        <row r="239">
          <cell r="BZ239" t="str">
            <v/>
          </cell>
        </row>
        <row r="240">
          <cell r="BZ240" t="str">
            <v/>
          </cell>
        </row>
        <row r="241">
          <cell r="BZ241" t="str">
            <v/>
          </cell>
        </row>
        <row r="242">
          <cell r="BZ242" t="str">
            <v/>
          </cell>
        </row>
        <row r="243">
          <cell r="BZ243" t="str">
            <v/>
          </cell>
        </row>
        <row r="244">
          <cell r="BZ244" t="str">
            <v/>
          </cell>
        </row>
        <row r="245">
          <cell r="BZ245" t="str">
            <v/>
          </cell>
        </row>
        <row r="246">
          <cell r="BZ246" t="str">
            <v/>
          </cell>
        </row>
        <row r="247">
          <cell r="BZ247" t="str">
            <v/>
          </cell>
        </row>
        <row r="248">
          <cell r="BZ248" t="str">
            <v/>
          </cell>
        </row>
        <row r="249">
          <cell r="BZ249" t="str">
            <v/>
          </cell>
        </row>
        <row r="250">
          <cell r="BZ250" t="str">
            <v/>
          </cell>
        </row>
        <row r="251">
          <cell r="BZ251" t="str">
            <v/>
          </cell>
        </row>
        <row r="252">
          <cell r="BZ252" t="str">
            <v/>
          </cell>
        </row>
        <row r="253">
          <cell r="BZ253" t="str">
            <v/>
          </cell>
        </row>
        <row r="254">
          <cell r="BZ254" t="str">
            <v/>
          </cell>
        </row>
        <row r="255">
          <cell r="BZ255" t="str">
            <v/>
          </cell>
        </row>
        <row r="256">
          <cell r="BZ256" t="str">
            <v/>
          </cell>
        </row>
        <row r="257">
          <cell r="BZ257" t="str">
            <v/>
          </cell>
        </row>
        <row r="258">
          <cell r="BZ258" t="str">
            <v/>
          </cell>
        </row>
        <row r="259">
          <cell r="BZ259" t="str">
            <v/>
          </cell>
        </row>
        <row r="260">
          <cell r="BZ260" t="str">
            <v/>
          </cell>
        </row>
        <row r="261">
          <cell r="BZ261" t="str">
            <v/>
          </cell>
        </row>
        <row r="262">
          <cell r="BZ262" t="str">
            <v/>
          </cell>
        </row>
        <row r="263">
          <cell r="BZ263" t="str">
            <v/>
          </cell>
        </row>
        <row r="264">
          <cell r="BZ264" t="str">
            <v/>
          </cell>
        </row>
        <row r="265">
          <cell r="BZ265" t="str">
            <v/>
          </cell>
        </row>
        <row r="266">
          <cell r="BZ266" t="str">
            <v/>
          </cell>
        </row>
        <row r="267">
          <cell r="BZ267" t="str">
            <v/>
          </cell>
        </row>
        <row r="268">
          <cell r="BZ268" t="str">
            <v/>
          </cell>
        </row>
        <row r="269">
          <cell r="BZ269" t="str">
            <v/>
          </cell>
        </row>
        <row r="270">
          <cell r="BZ270" t="str">
            <v/>
          </cell>
        </row>
        <row r="271">
          <cell r="BZ271" t="str">
            <v/>
          </cell>
        </row>
        <row r="272">
          <cell r="BZ272" t="str">
            <v/>
          </cell>
        </row>
        <row r="273">
          <cell r="BZ273" t="str">
            <v/>
          </cell>
        </row>
        <row r="274">
          <cell r="BZ274" t="str">
            <v/>
          </cell>
        </row>
        <row r="275">
          <cell r="BZ275" t="str">
            <v/>
          </cell>
        </row>
        <row r="276">
          <cell r="BZ276" t="str">
            <v/>
          </cell>
        </row>
        <row r="277">
          <cell r="BZ277" t="str">
            <v/>
          </cell>
        </row>
        <row r="278">
          <cell r="BZ278" t="str">
            <v/>
          </cell>
        </row>
        <row r="279">
          <cell r="BZ279" t="str">
            <v/>
          </cell>
        </row>
        <row r="280">
          <cell r="BZ280" t="str">
            <v/>
          </cell>
        </row>
        <row r="281">
          <cell r="BZ281" t="str">
            <v/>
          </cell>
        </row>
        <row r="282">
          <cell r="BZ282" t="str">
            <v/>
          </cell>
        </row>
        <row r="283">
          <cell r="BZ283" t="str">
            <v/>
          </cell>
        </row>
        <row r="284">
          <cell r="BZ284" t="str">
            <v/>
          </cell>
        </row>
        <row r="285">
          <cell r="BZ285" t="str">
            <v/>
          </cell>
        </row>
        <row r="286">
          <cell r="BZ286" t="str">
            <v/>
          </cell>
        </row>
        <row r="287">
          <cell r="BZ287" t="str">
            <v/>
          </cell>
        </row>
        <row r="288">
          <cell r="BZ288" t="str">
            <v/>
          </cell>
        </row>
        <row r="289">
          <cell r="BZ289" t="str">
            <v/>
          </cell>
        </row>
        <row r="290">
          <cell r="BZ290" t="str">
            <v/>
          </cell>
        </row>
        <row r="291">
          <cell r="BZ291" t="str">
            <v/>
          </cell>
        </row>
        <row r="292">
          <cell r="BZ292" t="str">
            <v/>
          </cell>
        </row>
        <row r="293">
          <cell r="BZ293" t="str">
            <v/>
          </cell>
        </row>
        <row r="294">
          <cell r="BZ294" t="str">
            <v/>
          </cell>
        </row>
        <row r="295">
          <cell r="BZ295" t="str">
            <v/>
          </cell>
        </row>
        <row r="296">
          <cell r="BZ296" t="str">
            <v/>
          </cell>
        </row>
        <row r="297">
          <cell r="BZ297" t="str">
            <v/>
          </cell>
        </row>
        <row r="298">
          <cell r="BZ298" t="str">
            <v/>
          </cell>
        </row>
        <row r="299">
          <cell r="BZ299" t="str">
            <v/>
          </cell>
        </row>
        <row r="300">
          <cell r="BZ300" t="str">
            <v/>
          </cell>
        </row>
        <row r="301">
          <cell r="BZ301" t="str">
            <v/>
          </cell>
        </row>
        <row r="302">
          <cell r="BZ302" t="str">
            <v/>
          </cell>
        </row>
        <row r="303">
          <cell r="BZ303" t="str">
            <v/>
          </cell>
        </row>
        <row r="304">
          <cell r="BZ304" t="str">
            <v/>
          </cell>
        </row>
        <row r="305">
          <cell r="BZ305" t="str">
            <v/>
          </cell>
        </row>
        <row r="306">
          <cell r="BZ306" t="str">
            <v/>
          </cell>
        </row>
        <row r="307">
          <cell r="BZ307" t="str">
            <v/>
          </cell>
        </row>
        <row r="308">
          <cell r="BZ308" t="str">
            <v/>
          </cell>
        </row>
        <row r="309">
          <cell r="BZ309" t="str">
            <v/>
          </cell>
        </row>
        <row r="310">
          <cell r="BZ310" t="str">
            <v/>
          </cell>
        </row>
        <row r="311">
          <cell r="BZ311" t="str">
            <v/>
          </cell>
        </row>
        <row r="312">
          <cell r="BZ312" t="str">
            <v/>
          </cell>
        </row>
        <row r="313">
          <cell r="BZ313" t="str">
            <v/>
          </cell>
        </row>
        <row r="314">
          <cell r="BZ314" t="str">
            <v/>
          </cell>
        </row>
        <row r="315">
          <cell r="BZ315" t="str">
            <v/>
          </cell>
        </row>
        <row r="316">
          <cell r="BZ316" t="str">
            <v/>
          </cell>
        </row>
        <row r="317">
          <cell r="BZ317" t="str">
            <v/>
          </cell>
        </row>
        <row r="318">
          <cell r="BZ318" t="str">
            <v/>
          </cell>
        </row>
        <row r="319">
          <cell r="BZ319" t="str">
            <v/>
          </cell>
        </row>
        <row r="320">
          <cell r="BZ320" t="str">
            <v/>
          </cell>
        </row>
        <row r="321">
          <cell r="BZ321" t="str">
            <v/>
          </cell>
        </row>
        <row r="322">
          <cell r="BZ322" t="str">
            <v/>
          </cell>
        </row>
        <row r="323">
          <cell r="BZ323" t="str">
            <v/>
          </cell>
        </row>
        <row r="324">
          <cell r="BZ324" t="str">
            <v/>
          </cell>
        </row>
        <row r="325">
          <cell r="BZ325" t="str">
            <v/>
          </cell>
        </row>
        <row r="326">
          <cell r="BZ326" t="str">
            <v/>
          </cell>
        </row>
        <row r="327">
          <cell r="BZ327" t="str">
            <v/>
          </cell>
        </row>
        <row r="328">
          <cell r="BZ328" t="str">
            <v/>
          </cell>
        </row>
        <row r="329">
          <cell r="BZ329" t="str">
            <v/>
          </cell>
        </row>
        <row r="330">
          <cell r="BZ330" t="str">
            <v/>
          </cell>
        </row>
        <row r="331">
          <cell r="BZ331" t="str">
            <v/>
          </cell>
        </row>
        <row r="332">
          <cell r="BZ332" t="str">
            <v/>
          </cell>
        </row>
        <row r="333">
          <cell r="BZ333" t="str">
            <v/>
          </cell>
        </row>
        <row r="334">
          <cell r="BZ334" t="str">
            <v/>
          </cell>
        </row>
        <row r="335">
          <cell r="BZ335" t="str">
            <v/>
          </cell>
        </row>
      </sheetData>
      <sheetData sheetId="2"/>
      <sheetData sheetId="3">
        <row r="6">
          <cell r="C6">
            <v>2</v>
          </cell>
        </row>
      </sheetData>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de inventarios 2019"/>
      <sheetName val="Control inventarios donacio2021"/>
      <sheetName val="Control inventarios 2021"/>
      <sheetName val="Mantenimiento 2022"/>
      <sheetName val="PM Pr Gestión Logística"/>
      <sheetName val="Cumplimiento"/>
      <sheetName val="Instructivo"/>
      <sheetName val="Tabla informe"/>
      <sheetName val="Hoja2"/>
    </sheetNames>
    <sheetDataSet>
      <sheetData sheetId="0"/>
      <sheetData sheetId="1"/>
      <sheetData sheetId="2"/>
      <sheetData sheetId="3"/>
      <sheetData sheetId="4"/>
      <sheetData sheetId="5">
        <row r="6">
          <cell r="B6" t="str">
            <v>Auditoría Interna Procedimiento Control del inventario de bienes muebles e inmuebles 2019</v>
          </cell>
          <cell r="C6">
            <v>4</v>
          </cell>
          <cell r="D6">
            <v>0</v>
          </cell>
          <cell r="E6">
            <v>44019</v>
          </cell>
          <cell r="F6" t="str">
            <v>SI</v>
          </cell>
          <cell r="G6">
            <v>1</v>
          </cell>
          <cell r="H6">
            <v>4</v>
          </cell>
          <cell r="I6">
            <v>0</v>
          </cell>
          <cell r="J6">
            <v>3</v>
          </cell>
          <cell r="K6">
            <v>1</v>
          </cell>
          <cell r="L6">
            <v>0</v>
          </cell>
          <cell r="M6">
            <v>0</v>
          </cell>
          <cell r="N6">
            <v>0.75</v>
          </cell>
          <cell r="O6">
            <v>0.25</v>
          </cell>
          <cell r="P6">
            <v>0</v>
          </cell>
        </row>
        <row r="7">
          <cell r="B7" t="str">
            <v>Auditoría Interna Procedimiento Control del inventario de bienes muebles e inmuebles 2020</v>
          </cell>
          <cell r="C7">
            <v>10</v>
          </cell>
          <cell r="D7">
            <v>0</v>
          </cell>
          <cell r="E7"/>
          <cell r="F7" t="str">
            <v>NO</v>
          </cell>
          <cell r="G7" t="str">
            <v/>
          </cell>
          <cell r="H7">
            <v>0</v>
          </cell>
          <cell r="I7">
            <v>0</v>
          </cell>
          <cell r="J7">
            <v>0</v>
          </cell>
          <cell r="K7">
            <v>0</v>
          </cell>
          <cell r="L7">
            <v>0</v>
          </cell>
          <cell r="M7" t="str">
            <v>-</v>
          </cell>
          <cell r="N7" t="str">
            <v>-</v>
          </cell>
          <cell r="O7" t="str">
            <v>-</v>
          </cell>
          <cell r="P7">
            <v>0</v>
          </cell>
        </row>
        <row r="8">
          <cell r="B8" t="str">
            <v>Auditoría Interna Contrato de intermediación de Seguros y Riesgos Laborales 2020</v>
          </cell>
          <cell r="C8">
            <v>4</v>
          </cell>
          <cell r="D8">
            <v>0</v>
          </cell>
          <cell r="E8"/>
          <cell r="F8" t="str">
            <v>NO</v>
          </cell>
          <cell r="G8" t="str">
            <v/>
          </cell>
          <cell r="H8">
            <v>0</v>
          </cell>
          <cell r="I8">
            <v>0</v>
          </cell>
          <cell r="J8">
            <v>0</v>
          </cell>
          <cell r="K8">
            <v>0</v>
          </cell>
          <cell r="L8">
            <v>0</v>
          </cell>
          <cell r="M8" t="str">
            <v>-</v>
          </cell>
          <cell r="N8" t="str">
            <v>-</v>
          </cell>
          <cell r="O8" t="str">
            <v>-</v>
          </cell>
          <cell r="P8">
            <v>0</v>
          </cell>
        </row>
        <row r="9">
          <cell r="B9" t="str">
            <v>Auditoría Interna Procedimiento Control de Inventarios Bienes de Consumo - Instructivo Legalización Donaciones 2021</v>
          </cell>
          <cell r="C9">
            <v>5</v>
          </cell>
          <cell r="D9">
            <v>0</v>
          </cell>
          <cell r="E9"/>
          <cell r="F9" t="str">
            <v>SI</v>
          </cell>
          <cell r="G9">
            <v>0</v>
          </cell>
          <cell r="H9">
            <v>20</v>
          </cell>
          <cell r="I9">
            <v>0</v>
          </cell>
          <cell r="J9">
            <v>0</v>
          </cell>
          <cell r="K9">
            <v>0</v>
          </cell>
          <cell r="L9">
            <v>20</v>
          </cell>
          <cell r="M9" t="str">
            <v>-</v>
          </cell>
          <cell r="N9" t="str">
            <v>-</v>
          </cell>
          <cell r="O9" t="str">
            <v>-</v>
          </cell>
          <cell r="P9">
            <v>0</v>
          </cell>
        </row>
        <row r="10">
          <cell r="B10" t="str">
            <v>Auditoría Interna Condiciones de Seguridad Física y Ambientales de los servicios de urgencias 2021</v>
          </cell>
          <cell r="C10">
            <v>3</v>
          </cell>
          <cell r="D10">
            <v>0</v>
          </cell>
          <cell r="E10"/>
          <cell r="F10" t="str">
            <v>NO</v>
          </cell>
          <cell r="G10" t="str">
            <v/>
          </cell>
          <cell r="H10">
            <v>0</v>
          </cell>
          <cell r="I10">
            <v>0</v>
          </cell>
          <cell r="J10">
            <v>0</v>
          </cell>
          <cell r="K10">
            <v>0</v>
          </cell>
          <cell r="L10">
            <v>0</v>
          </cell>
          <cell r="M10" t="str">
            <v>-</v>
          </cell>
          <cell r="N10" t="str">
            <v>-</v>
          </cell>
          <cell r="O10" t="str">
            <v>-</v>
          </cell>
          <cell r="P10">
            <v>0</v>
          </cell>
        </row>
        <row r="11">
          <cell r="B11" t="str">
            <v>Auditoría Interna Mantenimiento de Bienes – Equipos Biomédicos 2021</v>
          </cell>
          <cell r="C11">
            <v>5</v>
          </cell>
          <cell r="D11">
            <v>0</v>
          </cell>
          <cell r="E11"/>
          <cell r="F11" t="str">
            <v>NO</v>
          </cell>
          <cell r="G11" t="str">
            <v/>
          </cell>
          <cell r="H11">
            <v>0</v>
          </cell>
          <cell r="I11">
            <v>0</v>
          </cell>
          <cell r="J11">
            <v>0</v>
          </cell>
          <cell r="K11">
            <v>0</v>
          </cell>
          <cell r="L11">
            <v>0</v>
          </cell>
          <cell r="M11" t="str">
            <v>-</v>
          </cell>
          <cell r="N11" t="str">
            <v>-</v>
          </cell>
          <cell r="O11" t="str">
            <v>-</v>
          </cell>
          <cell r="P11">
            <v>0</v>
          </cell>
        </row>
        <row r="12">
          <cell r="B12" t="str">
            <v>Auditoría Interna Procedimiento Control del inventario de bienes muebles e inmuebles 2021</v>
          </cell>
          <cell r="C12">
            <v>4</v>
          </cell>
          <cell r="D12">
            <v>0</v>
          </cell>
          <cell r="E12">
            <v>44726</v>
          </cell>
          <cell r="F12" t="str">
            <v>SI</v>
          </cell>
          <cell r="G12">
            <v>1</v>
          </cell>
          <cell r="H12">
            <v>10</v>
          </cell>
          <cell r="I12">
            <v>0</v>
          </cell>
          <cell r="J12">
            <v>0</v>
          </cell>
          <cell r="K12">
            <v>10</v>
          </cell>
          <cell r="L12">
            <v>0</v>
          </cell>
          <cell r="M12">
            <v>0</v>
          </cell>
          <cell r="N12">
            <v>0</v>
          </cell>
          <cell r="O12">
            <v>1</v>
          </cell>
          <cell r="P12">
            <v>0</v>
          </cell>
        </row>
        <row r="13">
          <cell r="B13" t="str">
            <v>Auditoría Interna Mantenimiento de Bienes – Equipos Biomédicos 2022</v>
          </cell>
          <cell r="C13">
            <v>2</v>
          </cell>
          <cell r="D13">
            <v>0</v>
          </cell>
          <cell r="E13"/>
          <cell r="F13" t="str">
            <v>SI</v>
          </cell>
          <cell r="G13">
            <v>0</v>
          </cell>
          <cell r="H13">
            <v>6</v>
          </cell>
          <cell r="I13">
            <v>0</v>
          </cell>
          <cell r="J13">
            <v>0</v>
          </cell>
          <cell r="K13">
            <v>0</v>
          </cell>
          <cell r="L13">
            <v>6</v>
          </cell>
          <cell r="M13" t="str">
            <v>-</v>
          </cell>
          <cell r="N13" t="str">
            <v>-</v>
          </cell>
          <cell r="O13" t="str">
            <v>-</v>
          </cell>
          <cell r="P13">
            <v>0</v>
          </cell>
        </row>
        <row r="14">
          <cell r="B14" t="str">
            <v>Auditoría Interna Procedimiento Control de Inventarios Bienes de Consumo - Instructivo Legalización Donaciones 2022</v>
          </cell>
          <cell r="C14">
            <v>1</v>
          </cell>
          <cell r="D14">
            <v>0</v>
          </cell>
          <cell r="E14"/>
          <cell r="F14" t="str">
            <v>NO</v>
          </cell>
          <cell r="G14" t="str">
            <v/>
          </cell>
          <cell r="H14">
            <v>0</v>
          </cell>
          <cell r="I14">
            <v>0</v>
          </cell>
          <cell r="J14">
            <v>0</v>
          </cell>
          <cell r="K14">
            <v>0</v>
          </cell>
          <cell r="L14">
            <v>0</v>
          </cell>
          <cell r="M14" t="str">
            <v>-</v>
          </cell>
          <cell r="N14" t="str">
            <v>-</v>
          </cell>
          <cell r="O14" t="str">
            <v>-</v>
          </cell>
          <cell r="P14">
            <v>0</v>
          </cell>
        </row>
        <row r="15">
          <cell r="B15" t="str">
            <v>Auditoría Interna Gestión de Bienes Muebles, Traslados y Reintegros 2022</v>
          </cell>
          <cell r="C15">
            <v>1</v>
          </cell>
          <cell r="D15">
            <v>0</v>
          </cell>
          <cell r="E15"/>
          <cell r="F15" t="str">
            <v>NO</v>
          </cell>
          <cell r="G15" t="str">
            <v/>
          </cell>
          <cell r="H15">
            <v>0</v>
          </cell>
          <cell r="I15">
            <v>0</v>
          </cell>
          <cell r="J15">
            <v>0</v>
          </cell>
          <cell r="K15">
            <v>0</v>
          </cell>
          <cell r="L15">
            <v>0</v>
          </cell>
          <cell r="M15" t="str">
            <v>-</v>
          </cell>
          <cell r="N15" t="str">
            <v>-</v>
          </cell>
          <cell r="O15" t="str">
            <v>-</v>
          </cell>
          <cell r="P15">
            <v>0</v>
          </cell>
        </row>
        <row r="16">
          <cell r="B16" t="str">
            <v>Auditoría Interna Aseguramiento de bienes muebles 2022</v>
          </cell>
          <cell r="C16">
            <v>4</v>
          </cell>
          <cell r="D16">
            <v>0</v>
          </cell>
          <cell r="E16"/>
          <cell r="F16" t="str">
            <v>NO</v>
          </cell>
          <cell r="G16" t="str">
            <v/>
          </cell>
          <cell r="H16">
            <v>0</v>
          </cell>
          <cell r="I16">
            <v>0</v>
          </cell>
          <cell r="J16">
            <v>0</v>
          </cell>
          <cell r="K16">
            <v>0</v>
          </cell>
          <cell r="L16">
            <v>0</v>
          </cell>
          <cell r="M16" t="str">
            <v>-</v>
          </cell>
          <cell r="N16" t="str">
            <v>-</v>
          </cell>
          <cell r="O16" t="str">
            <v>-</v>
          </cell>
          <cell r="P16">
            <v>0</v>
          </cell>
        </row>
        <row r="17">
          <cell r="B17" t="str">
            <v>Auditoría Interna Procedimiento Control del inventario de bienes muebles e inmuebles 2023</v>
          </cell>
          <cell r="C17">
            <v>3</v>
          </cell>
          <cell r="D17">
            <v>0</v>
          </cell>
          <cell r="E17"/>
          <cell r="F17" t="str">
            <v>NO</v>
          </cell>
          <cell r="G17" t="str">
            <v/>
          </cell>
          <cell r="H17">
            <v>0</v>
          </cell>
          <cell r="I17">
            <v>0</v>
          </cell>
          <cell r="J17">
            <v>0</v>
          </cell>
          <cell r="K17">
            <v>0</v>
          </cell>
          <cell r="L17">
            <v>0</v>
          </cell>
          <cell r="M17" t="str">
            <v>-</v>
          </cell>
          <cell r="N17" t="str">
            <v>-</v>
          </cell>
          <cell r="O17" t="str">
            <v>-</v>
          </cell>
          <cell r="P17">
            <v>0</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12</v>
          </cell>
          <cell r="C26">
            <v>46</v>
          </cell>
          <cell r="D26">
            <v>0</v>
          </cell>
          <cell r="E26" t="str">
            <v>-</v>
          </cell>
          <cell r="F26">
            <v>0.33333333333333331</v>
          </cell>
          <cell r="G26" t="str">
            <v>-</v>
          </cell>
          <cell r="H26">
            <v>40</v>
          </cell>
          <cell r="I26">
            <v>0</v>
          </cell>
          <cell r="J26">
            <v>3</v>
          </cell>
          <cell r="K26">
            <v>11</v>
          </cell>
          <cell r="L26">
            <v>26</v>
          </cell>
          <cell r="M26">
            <v>0</v>
          </cell>
          <cell r="N26">
            <v>0.21428571428571427</v>
          </cell>
          <cell r="O26">
            <v>0.7857142857142857</v>
          </cell>
          <cell r="P26">
            <v>0</v>
          </cell>
        </row>
        <row r="27">
          <cell r="B27"/>
        </row>
        <row r="28">
          <cell r="B28"/>
        </row>
        <row r="29">
          <cell r="B29"/>
        </row>
        <row r="30">
          <cell r="B30"/>
        </row>
      </sheetData>
      <sheetData sheetId="6"/>
      <sheetData sheetId="7"/>
      <sheetData sheetId="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documental 2019"/>
      <sheetName val="Archivo clínico 2021"/>
      <sheetName val="PM Gestión Documental"/>
      <sheetName val="Cumplimiento"/>
      <sheetName val="Instructivo"/>
      <sheetName val="Tabla informe"/>
      <sheetName val="Hoja2"/>
    </sheetNames>
    <sheetDataSet>
      <sheetData sheetId="0"/>
      <sheetData sheetId="1"/>
      <sheetData sheetId="2"/>
      <sheetData sheetId="3">
        <row r="6">
          <cell r="B6" t="str">
            <v>Auditoría Interna Gestión Documental 2019</v>
          </cell>
          <cell r="C6">
            <v>7</v>
          </cell>
          <cell r="D6">
            <v>2</v>
          </cell>
          <cell r="E6">
            <v>45260</v>
          </cell>
          <cell r="F6" t="str">
            <v>SI</v>
          </cell>
          <cell r="G6">
            <v>3</v>
          </cell>
          <cell r="H6">
            <v>16</v>
          </cell>
          <cell r="I6">
            <v>5</v>
          </cell>
          <cell r="J6">
            <v>6</v>
          </cell>
          <cell r="K6">
            <v>5</v>
          </cell>
          <cell r="L6">
            <v>0</v>
          </cell>
          <cell r="M6">
            <v>0.3125</v>
          </cell>
          <cell r="N6">
            <v>0.375</v>
          </cell>
          <cell r="O6">
            <v>0.3125</v>
          </cell>
          <cell r="P6">
            <v>0.2857142857142857</v>
          </cell>
        </row>
        <row r="7">
          <cell r="B7" t="str">
            <v>Auditoría Interna Manejo de Archivo Clínico 2021</v>
          </cell>
          <cell r="C7">
            <v>3</v>
          </cell>
          <cell r="D7">
            <v>0</v>
          </cell>
          <cell r="E7">
            <v>45260</v>
          </cell>
          <cell r="F7" t="str">
            <v>SI</v>
          </cell>
          <cell r="G7">
            <v>1</v>
          </cell>
          <cell r="H7">
            <v>7</v>
          </cell>
          <cell r="I7">
            <v>0</v>
          </cell>
          <cell r="J7">
            <v>0</v>
          </cell>
          <cell r="K7">
            <v>7</v>
          </cell>
          <cell r="L7">
            <v>0</v>
          </cell>
          <cell r="M7">
            <v>0</v>
          </cell>
          <cell r="N7">
            <v>0</v>
          </cell>
          <cell r="O7">
            <v>1</v>
          </cell>
          <cell r="P7">
            <v>0</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2</v>
          </cell>
          <cell r="C26">
            <v>10</v>
          </cell>
          <cell r="D26">
            <v>2</v>
          </cell>
          <cell r="E26" t="str">
            <v>-</v>
          </cell>
          <cell r="F26">
            <v>1</v>
          </cell>
          <cell r="G26" t="str">
            <v>-</v>
          </cell>
          <cell r="H26">
            <v>23</v>
          </cell>
          <cell r="I26">
            <v>5</v>
          </cell>
          <cell r="J26">
            <v>6</v>
          </cell>
          <cell r="K26">
            <v>12</v>
          </cell>
          <cell r="L26">
            <v>0</v>
          </cell>
          <cell r="M26">
            <v>0.21739130434782608</v>
          </cell>
          <cell r="N26">
            <v>0.2608695652173913</v>
          </cell>
          <cell r="O26">
            <v>0.52173913043478259</v>
          </cell>
          <cell r="P26">
            <v>0.2</v>
          </cell>
        </row>
        <row r="28">
          <cell r="B28"/>
          <cell r="F28"/>
          <cell r="G28"/>
          <cell r="H28"/>
        </row>
        <row r="29">
          <cell r="F29"/>
        </row>
      </sheetData>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ención ambulatoria 2019"/>
      <sheetName val="PM Atención Ambulatoria"/>
      <sheetName val="Cumplimiento"/>
      <sheetName val="Instructivo"/>
      <sheetName val="Tabla informe"/>
      <sheetName val="Hoja2"/>
    </sheetNames>
    <sheetDataSet>
      <sheetData sheetId="0"/>
      <sheetData sheetId="1"/>
      <sheetData sheetId="2">
        <row r="7">
          <cell r="B7" t="str">
            <v>Auditoría Interna Proceso Atención Ambulatoria 2019</v>
          </cell>
          <cell r="C7">
            <v>43818</v>
          </cell>
          <cell r="D7">
            <v>6</v>
          </cell>
          <cell r="E7">
            <v>4</v>
          </cell>
          <cell r="F7">
            <v>45232</v>
          </cell>
          <cell r="G7" t="str">
            <v>SI</v>
          </cell>
          <cell r="H7">
            <v>3</v>
          </cell>
          <cell r="I7">
            <v>6</v>
          </cell>
          <cell r="J7">
            <v>4</v>
          </cell>
          <cell r="K7">
            <v>0.66666666666666663</v>
          </cell>
          <cell r="L7">
            <v>1</v>
          </cell>
          <cell r="M7">
            <v>0.16666666666666666</v>
          </cell>
          <cell r="N7">
            <v>1</v>
          </cell>
          <cell r="O7">
            <v>0.16666666666666666</v>
          </cell>
          <cell r="P7">
            <v>0</v>
          </cell>
          <cell r="Q7">
            <v>4</v>
          </cell>
          <cell r="R7">
            <v>0.66666666666666663</v>
          </cell>
        </row>
        <row r="8">
          <cell r="B8"/>
          <cell r="C8"/>
          <cell r="D8"/>
          <cell r="E8"/>
          <cell r="F8"/>
          <cell r="G8" t="str">
            <v/>
          </cell>
          <cell r="H8" t="str">
            <v/>
          </cell>
          <cell r="I8" t="str">
            <v/>
          </cell>
          <cell r="J8" t="str">
            <v/>
          </cell>
          <cell r="K8" t="str">
            <v/>
          </cell>
          <cell r="L8" t="str">
            <v/>
          </cell>
          <cell r="M8" t="str">
            <v/>
          </cell>
          <cell r="N8" t="str">
            <v/>
          </cell>
          <cell r="O8" t="str">
            <v/>
          </cell>
          <cell r="P8" t="str">
            <v/>
          </cell>
          <cell r="Q8" t="str">
            <v/>
          </cell>
          <cell r="R8" t="str">
            <v/>
          </cell>
        </row>
        <row r="9">
          <cell r="B9"/>
          <cell r="C9"/>
          <cell r="D9"/>
          <cell r="E9"/>
          <cell r="F9"/>
          <cell r="G9" t="str">
            <v/>
          </cell>
          <cell r="H9" t="str">
            <v/>
          </cell>
          <cell r="I9" t="str">
            <v/>
          </cell>
          <cell r="J9" t="str">
            <v/>
          </cell>
          <cell r="K9" t="str">
            <v/>
          </cell>
          <cell r="L9" t="str">
            <v/>
          </cell>
          <cell r="M9" t="str">
            <v/>
          </cell>
          <cell r="N9" t="str">
            <v/>
          </cell>
          <cell r="O9" t="str">
            <v/>
          </cell>
          <cell r="P9" t="str">
            <v/>
          </cell>
          <cell r="Q9" t="str">
            <v/>
          </cell>
          <cell r="R9" t="str">
            <v/>
          </cell>
        </row>
        <row r="10">
          <cell r="B10"/>
          <cell r="C10"/>
          <cell r="D10"/>
          <cell r="E10"/>
          <cell r="F10"/>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B11"/>
          <cell r="C11"/>
          <cell r="D11"/>
          <cell r="E11"/>
          <cell r="F11"/>
          <cell r="G11" t="str">
            <v/>
          </cell>
          <cell r="H11" t="str">
            <v/>
          </cell>
          <cell r="I11" t="str">
            <v/>
          </cell>
          <cell r="J11" t="str">
            <v/>
          </cell>
          <cell r="K11" t="str">
            <v/>
          </cell>
          <cell r="L11" t="str">
            <v/>
          </cell>
          <cell r="M11" t="str">
            <v/>
          </cell>
          <cell r="N11" t="str">
            <v/>
          </cell>
          <cell r="O11" t="str">
            <v/>
          </cell>
          <cell r="P11" t="str">
            <v/>
          </cell>
          <cell r="Q11" t="str">
            <v/>
          </cell>
          <cell r="R11" t="str">
            <v/>
          </cell>
        </row>
        <row r="12">
          <cell r="B12"/>
          <cell r="C12"/>
          <cell r="D12"/>
          <cell r="E12"/>
          <cell r="F12"/>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B13"/>
          <cell r="C13"/>
          <cell r="D13"/>
          <cell r="E13"/>
          <cell r="F13"/>
          <cell r="G13" t="str">
            <v/>
          </cell>
          <cell r="H13" t="str">
            <v/>
          </cell>
          <cell r="I13" t="str">
            <v/>
          </cell>
          <cell r="J13" t="str">
            <v/>
          </cell>
          <cell r="K13" t="str">
            <v/>
          </cell>
          <cell r="L13" t="str">
            <v/>
          </cell>
          <cell r="M13" t="str">
            <v/>
          </cell>
          <cell r="N13" t="str">
            <v/>
          </cell>
          <cell r="O13" t="str">
            <v/>
          </cell>
          <cell r="P13" t="str">
            <v/>
          </cell>
          <cell r="Q13" t="str">
            <v/>
          </cell>
          <cell r="R13" t="str">
            <v/>
          </cell>
        </row>
        <row r="14">
          <cell r="B14"/>
          <cell r="C14"/>
          <cell r="D14"/>
          <cell r="E14"/>
          <cell r="F14"/>
          <cell r="G14" t="str">
            <v/>
          </cell>
          <cell r="H14" t="str">
            <v/>
          </cell>
          <cell r="I14" t="str">
            <v/>
          </cell>
          <cell r="J14" t="str">
            <v/>
          </cell>
          <cell r="K14" t="str">
            <v/>
          </cell>
          <cell r="L14" t="str">
            <v/>
          </cell>
          <cell r="M14" t="str">
            <v/>
          </cell>
          <cell r="N14" t="str">
            <v/>
          </cell>
          <cell r="O14" t="str">
            <v/>
          </cell>
          <cell r="P14" t="str">
            <v/>
          </cell>
          <cell r="Q14" t="str">
            <v/>
          </cell>
          <cell r="R14" t="str">
            <v/>
          </cell>
        </row>
        <row r="15">
          <cell r="B15"/>
          <cell r="C15"/>
          <cell r="D15"/>
          <cell r="E15"/>
          <cell r="F15"/>
          <cell r="G15" t="str">
            <v/>
          </cell>
          <cell r="H15" t="str">
            <v/>
          </cell>
          <cell r="I15" t="str">
            <v/>
          </cell>
          <cell r="J15" t="str">
            <v/>
          </cell>
          <cell r="K15" t="str">
            <v/>
          </cell>
          <cell r="L15" t="str">
            <v/>
          </cell>
          <cell r="M15" t="str">
            <v/>
          </cell>
          <cell r="N15" t="str">
            <v/>
          </cell>
          <cell r="O15" t="str">
            <v/>
          </cell>
          <cell r="P15" t="str">
            <v/>
          </cell>
          <cell r="Q15" t="str">
            <v/>
          </cell>
          <cell r="R15" t="str">
            <v/>
          </cell>
        </row>
        <row r="16">
          <cell r="B16"/>
          <cell r="C16"/>
          <cell r="D16"/>
          <cell r="E16"/>
          <cell r="F16"/>
          <cell r="G16" t="str">
            <v/>
          </cell>
          <cell r="H16" t="str">
            <v/>
          </cell>
          <cell r="I16" t="str">
            <v/>
          </cell>
          <cell r="J16" t="str">
            <v/>
          </cell>
          <cell r="K16" t="str">
            <v/>
          </cell>
          <cell r="L16" t="str">
            <v/>
          </cell>
          <cell r="M16" t="str">
            <v/>
          </cell>
          <cell r="N16" t="str">
            <v/>
          </cell>
          <cell r="O16" t="str">
            <v/>
          </cell>
          <cell r="P16" t="str">
            <v/>
          </cell>
          <cell r="Q16" t="str">
            <v/>
          </cell>
          <cell r="R16" t="str">
            <v/>
          </cell>
        </row>
        <row r="17">
          <cell r="B17"/>
          <cell r="C17"/>
          <cell r="D17"/>
          <cell r="E17"/>
          <cell r="F17"/>
          <cell r="G17" t="str">
            <v/>
          </cell>
          <cell r="H17" t="str">
            <v/>
          </cell>
          <cell r="I17" t="str">
            <v/>
          </cell>
          <cell r="J17" t="str">
            <v/>
          </cell>
          <cell r="K17" t="str">
            <v/>
          </cell>
          <cell r="L17" t="str">
            <v/>
          </cell>
          <cell r="M17" t="str">
            <v/>
          </cell>
          <cell r="N17" t="str">
            <v/>
          </cell>
          <cell r="O17" t="str">
            <v/>
          </cell>
          <cell r="P17" t="str">
            <v/>
          </cell>
          <cell r="Q17" t="str">
            <v/>
          </cell>
          <cell r="R17" t="str">
            <v/>
          </cell>
        </row>
        <row r="18">
          <cell r="B18"/>
          <cell r="C18"/>
          <cell r="D18"/>
          <cell r="E18"/>
          <cell r="F18"/>
          <cell r="G18" t="str">
            <v/>
          </cell>
          <cell r="H18" t="str">
            <v/>
          </cell>
          <cell r="I18" t="str">
            <v/>
          </cell>
          <cell r="J18" t="str">
            <v/>
          </cell>
          <cell r="K18" t="str">
            <v/>
          </cell>
          <cell r="L18" t="str">
            <v/>
          </cell>
          <cell r="M18" t="str">
            <v/>
          </cell>
          <cell r="N18" t="str">
            <v/>
          </cell>
          <cell r="O18" t="str">
            <v/>
          </cell>
          <cell r="P18" t="str">
            <v/>
          </cell>
          <cell r="Q18" t="str">
            <v/>
          </cell>
          <cell r="R18" t="str">
            <v/>
          </cell>
        </row>
        <row r="19">
          <cell r="B19"/>
          <cell r="C19"/>
          <cell r="D19"/>
          <cell r="E19"/>
          <cell r="F19"/>
          <cell r="G19" t="str">
            <v/>
          </cell>
          <cell r="H19" t="str">
            <v/>
          </cell>
          <cell r="I19" t="str">
            <v/>
          </cell>
          <cell r="J19" t="str">
            <v/>
          </cell>
          <cell r="K19" t="str">
            <v/>
          </cell>
          <cell r="L19" t="str">
            <v/>
          </cell>
          <cell r="M19" t="str">
            <v/>
          </cell>
          <cell r="N19" t="str">
            <v/>
          </cell>
          <cell r="O19" t="str">
            <v/>
          </cell>
          <cell r="P19" t="str">
            <v/>
          </cell>
          <cell r="Q19" t="str">
            <v/>
          </cell>
          <cell r="R19" t="str">
            <v/>
          </cell>
        </row>
        <row r="20">
          <cell r="B20"/>
          <cell r="C20"/>
          <cell r="D20"/>
          <cell r="E20"/>
          <cell r="F20"/>
          <cell r="G20" t="str">
            <v/>
          </cell>
          <cell r="H20" t="str">
            <v/>
          </cell>
          <cell r="I20" t="str">
            <v/>
          </cell>
          <cell r="J20" t="str">
            <v/>
          </cell>
          <cell r="K20" t="str">
            <v/>
          </cell>
          <cell r="L20" t="str">
            <v/>
          </cell>
          <cell r="M20" t="str">
            <v/>
          </cell>
          <cell r="N20" t="str">
            <v/>
          </cell>
          <cell r="O20" t="str">
            <v/>
          </cell>
          <cell r="P20" t="str">
            <v/>
          </cell>
          <cell r="Q20" t="str">
            <v/>
          </cell>
          <cell r="R20" t="str">
            <v/>
          </cell>
        </row>
        <row r="21">
          <cell r="B21"/>
          <cell r="C21"/>
          <cell r="D21"/>
          <cell r="E21"/>
          <cell r="F21"/>
          <cell r="G21" t="str">
            <v/>
          </cell>
          <cell r="H21" t="str">
            <v/>
          </cell>
          <cell r="I21" t="str">
            <v/>
          </cell>
          <cell r="J21" t="str">
            <v/>
          </cell>
          <cell r="K21" t="str">
            <v/>
          </cell>
          <cell r="L21" t="str">
            <v/>
          </cell>
          <cell r="M21" t="str">
            <v/>
          </cell>
          <cell r="N21" t="str">
            <v/>
          </cell>
          <cell r="O21" t="str">
            <v/>
          </cell>
          <cell r="P21" t="str">
            <v/>
          </cell>
          <cell r="Q21" t="str">
            <v/>
          </cell>
          <cell r="R21" t="str">
            <v/>
          </cell>
        </row>
        <row r="22">
          <cell r="B22"/>
          <cell r="C22"/>
          <cell r="D22"/>
          <cell r="E22"/>
          <cell r="F22"/>
          <cell r="G22" t="str">
            <v/>
          </cell>
          <cell r="H22" t="str">
            <v/>
          </cell>
          <cell r="I22" t="str">
            <v/>
          </cell>
          <cell r="J22" t="str">
            <v/>
          </cell>
          <cell r="K22" t="str">
            <v/>
          </cell>
          <cell r="L22" t="str">
            <v/>
          </cell>
          <cell r="M22" t="str">
            <v/>
          </cell>
          <cell r="N22" t="str">
            <v/>
          </cell>
          <cell r="O22" t="str">
            <v/>
          </cell>
          <cell r="P22" t="str">
            <v/>
          </cell>
          <cell r="Q22" t="str">
            <v/>
          </cell>
          <cell r="R22" t="str">
            <v/>
          </cell>
        </row>
        <row r="23">
          <cell r="B23"/>
          <cell r="C23"/>
          <cell r="D23"/>
          <cell r="E23"/>
          <cell r="F23"/>
          <cell r="G23" t="str">
            <v/>
          </cell>
          <cell r="H23" t="str">
            <v/>
          </cell>
          <cell r="I23" t="str">
            <v/>
          </cell>
          <cell r="J23" t="str">
            <v/>
          </cell>
          <cell r="K23" t="str">
            <v/>
          </cell>
          <cell r="L23" t="str">
            <v/>
          </cell>
          <cell r="M23" t="str">
            <v/>
          </cell>
          <cell r="N23" t="str">
            <v/>
          </cell>
          <cell r="O23" t="str">
            <v/>
          </cell>
          <cell r="P23" t="str">
            <v/>
          </cell>
          <cell r="Q23" t="str">
            <v/>
          </cell>
          <cell r="R23" t="str">
            <v/>
          </cell>
        </row>
        <row r="24">
          <cell r="B24"/>
          <cell r="C24"/>
          <cell r="D24"/>
          <cell r="E24"/>
          <cell r="F24"/>
          <cell r="G24" t="str">
            <v/>
          </cell>
          <cell r="H24" t="str">
            <v/>
          </cell>
          <cell r="I24" t="str">
            <v/>
          </cell>
          <cell r="J24" t="str">
            <v/>
          </cell>
          <cell r="K24" t="str">
            <v/>
          </cell>
          <cell r="L24" t="str">
            <v/>
          </cell>
          <cell r="M24" t="str">
            <v/>
          </cell>
          <cell r="N24" t="str">
            <v/>
          </cell>
          <cell r="O24" t="str">
            <v/>
          </cell>
          <cell r="P24" t="str">
            <v/>
          </cell>
          <cell r="Q24" t="str">
            <v/>
          </cell>
          <cell r="R24" t="str">
            <v/>
          </cell>
        </row>
        <row r="25">
          <cell r="B25"/>
          <cell r="C25"/>
          <cell r="D25"/>
          <cell r="E25"/>
          <cell r="F25"/>
          <cell r="G25" t="str">
            <v/>
          </cell>
          <cell r="H25" t="str">
            <v/>
          </cell>
          <cell r="I25" t="str">
            <v/>
          </cell>
          <cell r="J25" t="str">
            <v/>
          </cell>
          <cell r="K25" t="str">
            <v/>
          </cell>
          <cell r="L25" t="str">
            <v/>
          </cell>
          <cell r="M25" t="str">
            <v/>
          </cell>
          <cell r="N25" t="str">
            <v/>
          </cell>
          <cell r="O25" t="str">
            <v/>
          </cell>
          <cell r="P25" t="str">
            <v/>
          </cell>
          <cell r="Q25" t="str">
            <v/>
          </cell>
          <cell r="R25" t="str">
            <v/>
          </cell>
        </row>
        <row r="26">
          <cell r="B26"/>
          <cell r="C26"/>
          <cell r="D26"/>
          <cell r="E26"/>
          <cell r="F26"/>
          <cell r="G26" t="str">
            <v/>
          </cell>
          <cell r="H26" t="str">
            <v/>
          </cell>
          <cell r="I26" t="str">
            <v/>
          </cell>
          <cell r="J26" t="str">
            <v/>
          </cell>
          <cell r="K26" t="str">
            <v/>
          </cell>
          <cell r="L26" t="str">
            <v/>
          </cell>
          <cell r="M26" t="str">
            <v/>
          </cell>
          <cell r="N26" t="str">
            <v/>
          </cell>
          <cell r="O26" t="str">
            <v/>
          </cell>
          <cell r="P26" t="str">
            <v/>
          </cell>
          <cell r="Q26" t="str">
            <v/>
          </cell>
          <cell r="R26" t="str">
            <v/>
          </cell>
        </row>
        <row r="27">
          <cell r="B27"/>
          <cell r="C27"/>
          <cell r="D27"/>
          <cell r="E27"/>
          <cell r="F27"/>
          <cell r="G27" t="str">
            <v/>
          </cell>
          <cell r="H27" t="str">
            <v/>
          </cell>
          <cell r="I27" t="str">
            <v/>
          </cell>
          <cell r="J27" t="str">
            <v/>
          </cell>
          <cell r="K27" t="str">
            <v/>
          </cell>
          <cell r="L27" t="str">
            <v/>
          </cell>
          <cell r="M27" t="str">
            <v/>
          </cell>
          <cell r="N27" t="str">
            <v/>
          </cell>
          <cell r="O27" t="str">
            <v/>
          </cell>
          <cell r="P27" t="str">
            <v/>
          </cell>
          <cell r="Q27" t="str">
            <v/>
          </cell>
          <cell r="R27" t="str">
            <v/>
          </cell>
        </row>
        <row r="28">
          <cell r="B28"/>
          <cell r="C28"/>
          <cell r="D28"/>
          <cell r="E28"/>
          <cell r="F28"/>
          <cell r="G28" t="str">
            <v/>
          </cell>
          <cell r="H28" t="str">
            <v/>
          </cell>
          <cell r="I28" t="str">
            <v/>
          </cell>
          <cell r="J28" t="str">
            <v/>
          </cell>
          <cell r="K28" t="str">
            <v/>
          </cell>
          <cell r="L28" t="str">
            <v/>
          </cell>
          <cell r="M28" t="str">
            <v/>
          </cell>
          <cell r="N28" t="str">
            <v/>
          </cell>
          <cell r="O28" t="str">
            <v/>
          </cell>
          <cell r="P28" t="str">
            <v/>
          </cell>
          <cell r="Q28" t="str">
            <v/>
          </cell>
          <cell r="R28" t="str">
            <v/>
          </cell>
        </row>
        <row r="29">
          <cell r="B29"/>
          <cell r="C29"/>
          <cell r="D29"/>
          <cell r="E29"/>
          <cell r="F29"/>
          <cell r="G29" t="str">
            <v/>
          </cell>
          <cell r="H29" t="str">
            <v/>
          </cell>
          <cell r="I29" t="str">
            <v/>
          </cell>
          <cell r="J29" t="str">
            <v/>
          </cell>
          <cell r="K29" t="str">
            <v/>
          </cell>
          <cell r="L29" t="str">
            <v/>
          </cell>
          <cell r="M29" t="str">
            <v/>
          </cell>
          <cell r="N29" t="str">
            <v/>
          </cell>
          <cell r="O29" t="str">
            <v/>
          </cell>
          <cell r="P29" t="str">
            <v/>
          </cell>
          <cell r="Q29" t="str">
            <v/>
          </cell>
          <cell r="R29" t="str">
            <v/>
          </cell>
        </row>
        <row r="30">
          <cell r="B30"/>
          <cell r="C30"/>
          <cell r="D30"/>
          <cell r="E30"/>
          <cell r="F30"/>
          <cell r="G30" t="str">
            <v/>
          </cell>
          <cell r="H30" t="str">
            <v/>
          </cell>
          <cell r="I30" t="str">
            <v/>
          </cell>
          <cell r="J30" t="str">
            <v/>
          </cell>
          <cell r="K30" t="str">
            <v/>
          </cell>
          <cell r="L30" t="str">
            <v/>
          </cell>
          <cell r="M30" t="str">
            <v/>
          </cell>
          <cell r="N30" t="str">
            <v/>
          </cell>
          <cell r="O30" t="str">
            <v/>
          </cell>
          <cell r="P30" t="str">
            <v/>
          </cell>
          <cell r="Q30" t="str">
            <v/>
          </cell>
          <cell r="R30" t="str">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20.1"/>
    </sheetNames>
    <sheetDataSet>
      <sheetData sheetId="0">
        <row r="8">
          <cell r="AX8" t="str">
            <v>AMAZONAS</v>
          </cell>
        </row>
        <row r="9">
          <cell r="AX9" t="str">
            <v>ANTIOQUIA</v>
          </cell>
        </row>
        <row r="10">
          <cell r="AX10" t="str">
            <v>ARAUCA</v>
          </cell>
        </row>
        <row r="11">
          <cell r="AX11" t="str">
            <v>ATLANTICO</v>
          </cell>
        </row>
        <row r="12">
          <cell r="AX12" t="str">
            <v>BOLIVAR</v>
          </cell>
        </row>
        <row r="13">
          <cell r="AX13" t="str">
            <v>BOYACA</v>
          </cell>
        </row>
        <row r="14">
          <cell r="AX14" t="str">
            <v>CALDAS</v>
          </cell>
        </row>
        <row r="15">
          <cell r="AX15" t="str">
            <v>CAQUETA</v>
          </cell>
        </row>
        <row r="16">
          <cell r="AX16" t="str">
            <v>CASANARE</v>
          </cell>
        </row>
        <row r="17">
          <cell r="AX17" t="str">
            <v>CAUCA</v>
          </cell>
        </row>
        <row r="18">
          <cell r="AX18" t="str">
            <v>CESAR</v>
          </cell>
        </row>
        <row r="19">
          <cell r="AX19" t="str">
            <v>CHOCO</v>
          </cell>
        </row>
        <row r="20">
          <cell r="AX20" t="str">
            <v>CORDOBA</v>
          </cell>
        </row>
        <row r="21">
          <cell r="AX21" t="str">
            <v>CUNDINAMARCA</v>
          </cell>
        </row>
        <row r="22">
          <cell r="AX22" t="str">
            <v>GUAINIA</v>
          </cell>
        </row>
        <row r="23">
          <cell r="AX23" t="str">
            <v>GUAVIARE</v>
          </cell>
        </row>
        <row r="24">
          <cell r="AX24" t="str">
            <v>HUILA</v>
          </cell>
        </row>
        <row r="25">
          <cell r="AX25" t="str">
            <v>LA_GUAJIRA</v>
          </cell>
        </row>
        <row r="26">
          <cell r="AX26" t="str">
            <v>MAGDALENA</v>
          </cell>
        </row>
        <row r="27">
          <cell r="AX27" t="str">
            <v>META</v>
          </cell>
        </row>
        <row r="28">
          <cell r="AX28" t="str">
            <v>N_DE_SANTANDER</v>
          </cell>
        </row>
        <row r="29">
          <cell r="AX29" t="str">
            <v>NARIÑO</v>
          </cell>
        </row>
        <row r="30">
          <cell r="AX30" t="str">
            <v>PUTUMAYO</v>
          </cell>
        </row>
        <row r="31">
          <cell r="AX31" t="str">
            <v>QUINDIO</v>
          </cell>
        </row>
        <row r="32">
          <cell r="AX32" t="str">
            <v>RISARALDA</v>
          </cell>
        </row>
        <row r="33">
          <cell r="AX33" t="str">
            <v>SAN_ANDRES</v>
          </cell>
        </row>
        <row r="34">
          <cell r="AX34" t="str">
            <v>SANTANDER</v>
          </cell>
        </row>
        <row r="35">
          <cell r="AX35" t="str">
            <v>SUCRE</v>
          </cell>
        </row>
        <row r="36">
          <cell r="AX36" t="str">
            <v>TOLIMA</v>
          </cell>
        </row>
        <row r="37">
          <cell r="AX37" t="str">
            <v>VALLE_DEL_CAUCA</v>
          </cell>
        </row>
        <row r="38">
          <cell r="AX38" t="str">
            <v>VAUPES</v>
          </cell>
        </row>
        <row r="39">
          <cell r="AX39" t="str">
            <v>VICHADA</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ención PYP 2019"/>
      <sheetName val="Atención PYP-matper 2021"/>
      <sheetName val="PM Atención en PyP"/>
      <sheetName val="Cumplimiento"/>
      <sheetName val="Instructivo"/>
      <sheetName val="Tabla informe"/>
      <sheetName val="Hoja2"/>
    </sheetNames>
    <sheetDataSet>
      <sheetData sheetId="0"/>
      <sheetData sheetId="1"/>
      <sheetData sheetId="2"/>
      <sheetData sheetId="3">
        <row r="6">
          <cell r="B6" t="str">
            <v>Auditoria Interna Atención en Promoción y Prevención 2019</v>
          </cell>
          <cell r="C6">
            <v>6</v>
          </cell>
          <cell r="D6">
            <v>0</v>
          </cell>
          <cell r="E6">
            <v>45237</v>
          </cell>
          <cell r="F6" t="str">
            <v>SI</v>
          </cell>
          <cell r="G6">
            <v>1</v>
          </cell>
          <cell r="H6">
            <v>8</v>
          </cell>
          <cell r="I6">
            <v>0</v>
          </cell>
          <cell r="J6">
            <v>1</v>
          </cell>
          <cell r="K6">
            <v>7</v>
          </cell>
          <cell r="L6">
            <v>0</v>
          </cell>
          <cell r="M6">
            <v>0</v>
          </cell>
          <cell r="N6">
            <v>0.125</v>
          </cell>
          <cell r="O6">
            <v>0.875</v>
          </cell>
          <cell r="P6">
            <v>0</v>
          </cell>
        </row>
        <row r="7">
          <cell r="B7" t="str">
            <v>Auditoria Interna Atención en Promoción y Prevención 2020</v>
          </cell>
          <cell r="C7">
            <v>4</v>
          </cell>
          <cell r="D7">
            <v>0</v>
          </cell>
          <cell r="E7"/>
          <cell r="F7" t="str">
            <v>NO</v>
          </cell>
          <cell r="G7" t="str">
            <v/>
          </cell>
          <cell r="H7">
            <v>0</v>
          </cell>
          <cell r="I7">
            <v>0</v>
          </cell>
          <cell r="J7">
            <v>0</v>
          </cell>
          <cell r="K7">
            <v>0</v>
          </cell>
          <cell r="L7">
            <v>0</v>
          </cell>
          <cell r="M7" t="str">
            <v>-</v>
          </cell>
          <cell r="N7" t="str">
            <v>-</v>
          </cell>
          <cell r="O7" t="str">
            <v>-</v>
          </cell>
          <cell r="P7">
            <v>0</v>
          </cell>
        </row>
        <row r="8">
          <cell r="B8" t="str">
            <v>Auditoria Interna Ciclo de Atención Materno Perinatal 2021</v>
          </cell>
          <cell r="C8">
            <v>5</v>
          </cell>
          <cell r="D8">
            <v>3</v>
          </cell>
          <cell r="E8">
            <v>45237</v>
          </cell>
          <cell r="F8" t="str">
            <v>SI</v>
          </cell>
          <cell r="G8">
            <v>1</v>
          </cell>
          <cell r="H8">
            <v>9</v>
          </cell>
          <cell r="I8">
            <v>6</v>
          </cell>
          <cell r="J8">
            <v>2</v>
          </cell>
          <cell r="K8">
            <v>1</v>
          </cell>
          <cell r="L8">
            <v>0</v>
          </cell>
          <cell r="M8">
            <v>0.66666666666666663</v>
          </cell>
          <cell r="N8">
            <v>0.22222222222222221</v>
          </cell>
          <cell r="O8">
            <v>0.1111111111111111</v>
          </cell>
          <cell r="P8">
            <v>0.6</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3</v>
          </cell>
          <cell r="C26">
            <v>15</v>
          </cell>
          <cell r="D26">
            <v>3</v>
          </cell>
          <cell r="E26" t="str">
            <v>-</v>
          </cell>
          <cell r="F26">
            <v>0.66666666666666663</v>
          </cell>
          <cell r="G26" t="str">
            <v>-</v>
          </cell>
          <cell r="H26">
            <v>17</v>
          </cell>
          <cell r="I26">
            <v>6</v>
          </cell>
          <cell r="J26">
            <v>3</v>
          </cell>
          <cell r="K26">
            <v>8</v>
          </cell>
          <cell r="L26">
            <v>0</v>
          </cell>
          <cell r="M26">
            <v>0.35294117647058826</v>
          </cell>
          <cell r="N26">
            <v>0.17647058823529413</v>
          </cell>
          <cell r="O26">
            <v>0.47058823529411764</v>
          </cell>
          <cell r="P26">
            <v>0.2</v>
          </cell>
        </row>
        <row r="27">
          <cell r="B27"/>
          <cell r="C27"/>
          <cell r="D27"/>
          <cell r="E27"/>
          <cell r="F27"/>
          <cell r="G27"/>
          <cell r="H27"/>
          <cell r="I27"/>
          <cell r="J27"/>
          <cell r="K27"/>
          <cell r="L27"/>
          <cell r="M27"/>
          <cell r="P27"/>
        </row>
        <row r="28">
          <cell r="B28"/>
          <cell r="F28"/>
        </row>
        <row r="29">
          <cell r="B29"/>
          <cell r="F29"/>
        </row>
        <row r="30">
          <cell r="B30"/>
          <cell r="F30"/>
        </row>
      </sheetData>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ención en Imágenes Dx 2020"/>
      <sheetName val="PM Pr Atención en Imágenes Dx"/>
      <sheetName val="Cumplimiento"/>
      <sheetName val="Instructivo"/>
      <sheetName val="Tabla informe"/>
      <sheetName val="Hoja2"/>
    </sheetNames>
    <sheetDataSet>
      <sheetData sheetId="0"/>
      <sheetData sheetId="1"/>
      <sheetData sheetId="2">
        <row r="6">
          <cell r="B6" t="str">
            <v>Auditoria Interna Proceso Atención en Imágenes Diagnósticas 2020</v>
          </cell>
          <cell r="C6">
            <v>4</v>
          </cell>
          <cell r="D6">
            <v>0</v>
          </cell>
          <cell r="E6">
            <v>45229</v>
          </cell>
          <cell r="F6" t="str">
            <v>SI</v>
          </cell>
          <cell r="G6">
            <v>3</v>
          </cell>
          <cell r="H6">
            <v>16</v>
          </cell>
          <cell r="I6">
            <v>6</v>
          </cell>
          <cell r="J6">
            <v>9</v>
          </cell>
          <cell r="K6">
            <v>1</v>
          </cell>
          <cell r="L6">
            <v>0</v>
          </cell>
          <cell r="M6">
            <v>0.375</v>
          </cell>
          <cell r="N6">
            <v>0.5625</v>
          </cell>
          <cell r="O6">
            <v>6.25E-2</v>
          </cell>
          <cell r="P6">
            <v>0</v>
          </cell>
        </row>
        <row r="7">
          <cell r="B7"/>
          <cell r="C7"/>
          <cell r="D7"/>
          <cell r="E7"/>
          <cell r="F7" t="str">
            <v/>
          </cell>
          <cell r="G7" t="str">
            <v/>
          </cell>
          <cell r="H7" t="str">
            <v/>
          </cell>
          <cell r="I7" t="str">
            <v/>
          </cell>
          <cell r="J7" t="str">
            <v/>
          </cell>
          <cell r="K7" t="str">
            <v/>
          </cell>
          <cell r="L7" t="str">
            <v/>
          </cell>
          <cell r="M7" t="str">
            <v/>
          </cell>
          <cell r="N7" t="str">
            <v/>
          </cell>
          <cell r="O7" t="str">
            <v/>
          </cell>
          <cell r="P7" t="str">
            <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1</v>
          </cell>
          <cell r="C26">
            <v>4</v>
          </cell>
          <cell r="D26">
            <v>0</v>
          </cell>
          <cell r="E26" t="str">
            <v>-</v>
          </cell>
          <cell r="F26">
            <v>1</v>
          </cell>
          <cell r="G26" t="str">
            <v>-</v>
          </cell>
          <cell r="H26">
            <v>16</v>
          </cell>
          <cell r="I26">
            <v>6</v>
          </cell>
          <cell r="J26">
            <v>9</v>
          </cell>
          <cell r="K26">
            <v>1</v>
          </cell>
          <cell r="L26">
            <v>0</v>
          </cell>
          <cell r="M26">
            <v>0.375</v>
          </cell>
          <cell r="N26">
            <v>0.5625</v>
          </cell>
          <cell r="O26">
            <v>6.25E-2</v>
          </cell>
          <cell r="P26">
            <v>0</v>
          </cell>
        </row>
        <row r="27">
          <cell r="B27"/>
          <cell r="C27"/>
          <cell r="D27"/>
          <cell r="E27"/>
          <cell r="F27"/>
          <cell r="G27"/>
          <cell r="H27"/>
          <cell r="I27"/>
          <cell r="J27"/>
          <cell r="K27"/>
          <cell r="L27"/>
        </row>
        <row r="28">
          <cell r="B28"/>
          <cell r="F28"/>
        </row>
        <row r="29">
          <cell r="B29"/>
          <cell r="F29"/>
        </row>
        <row r="30">
          <cell r="B30"/>
          <cell r="F30"/>
        </row>
      </sheetData>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vienda 2020"/>
      <sheetName val="Conductores de ambulancia 2020"/>
      <sheetName val="Cuadro de turnos 2021"/>
      <sheetName val="PM Gestión Talento Humano"/>
      <sheetName val="Cumplimiento"/>
      <sheetName val="Instructivo"/>
      <sheetName val="Tabla informe"/>
      <sheetName val="Hoja2"/>
    </sheetNames>
    <sheetDataSet>
      <sheetData sheetId="0"/>
      <sheetData sheetId="1"/>
      <sheetData sheetId="2"/>
      <sheetData sheetId="3"/>
      <sheetData sheetId="4">
        <row r="6">
          <cell r="B6" t="str">
            <v>Auditoría Interna Cuadros de turnos, pagos de nómina conductores de ambulancia 2020</v>
          </cell>
          <cell r="C6">
            <v>12</v>
          </cell>
          <cell r="D6">
            <v>12</v>
          </cell>
          <cell r="E6">
            <v>44655</v>
          </cell>
          <cell r="F6" t="str">
            <v>SI</v>
          </cell>
          <cell r="G6">
            <v>2</v>
          </cell>
          <cell r="H6">
            <v>4</v>
          </cell>
          <cell r="I6">
            <v>4</v>
          </cell>
          <cell r="J6">
            <v>0</v>
          </cell>
          <cell r="K6">
            <v>0</v>
          </cell>
          <cell r="L6">
            <v>0</v>
          </cell>
          <cell r="M6">
            <v>1</v>
          </cell>
          <cell r="N6">
            <v>0</v>
          </cell>
          <cell r="O6">
            <v>0</v>
          </cell>
          <cell r="P6">
            <v>1</v>
          </cell>
        </row>
        <row r="7">
          <cell r="B7" t="str">
            <v>Auditoría Interna Programa de Vivienda de la ESE Metrosalud 2020</v>
          </cell>
          <cell r="C7">
            <v>12</v>
          </cell>
          <cell r="D7">
            <v>0</v>
          </cell>
          <cell r="E7">
            <v>44720</v>
          </cell>
          <cell r="F7" t="str">
            <v>SI</v>
          </cell>
          <cell r="G7">
            <v>1</v>
          </cell>
          <cell r="H7">
            <v>14</v>
          </cell>
          <cell r="I7">
            <v>0</v>
          </cell>
          <cell r="J7">
            <v>5</v>
          </cell>
          <cell r="K7">
            <v>9</v>
          </cell>
          <cell r="L7">
            <v>0</v>
          </cell>
          <cell r="M7">
            <v>0</v>
          </cell>
          <cell r="N7">
            <v>0.35714285714285715</v>
          </cell>
          <cell r="O7">
            <v>0.6428571428571429</v>
          </cell>
          <cell r="P7">
            <v>0</v>
          </cell>
        </row>
        <row r="8">
          <cell r="B8" t="str">
            <v>Auditoría Interna Gestión Cuadro de Turnos 2021</v>
          </cell>
          <cell r="C8">
            <v>2</v>
          </cell>
          <cell r="D8">
            <v>0</v>
          </cell>
          <cell r="E8"/>
          <cell r="F8" t="str">
            <v>SI</v>
          </cell>
          <cell r="G8">
            <v>0</v>
          </cell>
          <cell r="H8">
            <v>2</v>
          </cell>
          <cell r="I8">
            <v>0</v>
          </cell>
          <cell r="J8">
            <v>0</v>
          </cell>
          <cell r="K8">
            <v>0</v>
          </cell>
          <cell r="L8">
            <v>2</v>
          </cell>
          <cell r="M8" t="str">
            <v>-</v>
          </cell>
          <cell r="N8" t="str">
            <v>-</v>
          </cell>
          <cell r="O8" t="str">
            <v>-</v>
          </cell>
          <cell r="P8">
            <v>0</v>
          </cell>
        </row>
        <row r="9">
          <cell r="B9" t="str">
            <v>Auditoría Interna Proceso de Gestión del Talento Humano 2021</v>
          </cell>
          <cell r="C9">
            <v>7</v>
          </cell>
          <cell r="D9">
            <v>0</v>
          </cell>
          <cell r="E9"/>
          <cell r="F9" t="str">
            <v>NO</v>
          </cell>
          <cell r="G9" t="str">
            <v/>
          </cell>
          <cell r="H9">
            <v>0</v>
          </cell>
          <cell r="I9">
            <v>0</v>
          </cell>
          <cell r="J9">
            <v>0</v>
          </cell>
          <cell r="K9">
            <v>0</v>
          </cell>
          <cell r="L9">
            <v>0</v>
          </cell>
          <cell r="M9" t="str">
            <v>-</v>
          </cell>
          <cell r="N9" t="str">
            <v>-</v>
          </cell>
          <cell r="O9" t="str">
            <v>-</v>
          </cell>
          <cell r="P9">
            <v>0</v>
          </cell>
        </row>
        <row r="10">
          <cell r="B10" t="str">
            <v>Auditoría Interna Proceso de Gestión del Talento Humano 2023</v>
          </cell>
          <cell r="C10">
            <v>7</v>
          </cell>
          <cell r="D10">
            <v>0</v>
          </cell>
          <cell r="E10"/>
          <cell r="F10" t="str">
            <v>SI</v>
          </cell>
          <cell r="G10">
            <v>0</v>
          </cell>
          <cell r="H10">
            <v>14</v>
          </cell>
          <cell r="I10">
            <v>0</v>
          </cell>
          <cell r="J10">
            <v>0</v>
          </cell>
          <cell r="K10">
            <v>0</v>
          </cell>
          <cell r="L10">
            <v>14</v>
          </cell>
          <cell r="M10" t="str">
            <v>-</v>
          </cell>
          <cell r="N10" t="str">
            <v>-</v>
          </cell>
          <cell r="O10" t="str">
            <v>-</v>
          </cell>
          <cell r="P10">
            <v>0</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5</v>
          </cell>
          <cell r="C26">
            <v>40</v>
          </cell>
          <cell r="D26">
            <v>12</v>
          </cell>
          <cell r="E26" t="str">
            <v>-</v>
          </cell>
          <cell r="F26">
            <v>0.8</v>
          </cell>
          <cell r="G26" t="str">
            <v>-</v>
          </cell>
          <cell r="H26">
            <v>34</v>
          </cell>
          <cell r="I26">
            <v>4</v>
          </cell>
          <cell r="J26">
            <v>5</v>
          </cell>
          <cell r="K26">
            <v>9</v>
          </cell>
          <cell r="L26">
            <v>16</v>
          </cell>
          <cell r="M26">
            <v>0.22222222222222221</v>
          </cell>
          <cell r="N26">
            <v>0.27777777777777779</v>
          </cell>
          <cell r="O26">
            <v>0.5</v>
          </cell>
          <cell r="P26">
            <v>0.3</v>
          </cell>
        </row>
        <row r="27">
          <cell r="B27"/>
        </row>
        <row r="28">
          <cell r="B28"/>
          <cell r="F28"/>
        </row>
        <row r="29">
          <cell r="B29"/>
          <cell r="F29"/>
        </row>
        <row r="30">
          <cell r="B30"/>
          <cell r="F30"/>
        </row>
      </sheetData>
      <sheetData sheetId="5"/>
      <sheetData sheetId="6"/>
      <sheetData sheetId="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encia servicio 2020"/>
      <sheetName val="PM Gestión Docencia Servicio"/>
      <sheetName val="Cumplimiento"/>
      <sheetName val="Instructivo"/>
      <sheetName val="Tabla informe"/>
      <sheetName val="Hoja2"/>
    </sheetNames>
    <sheetDataSet>
      <sheetData sheetId="0"/>
      <sheetData sheetId="1"/>
      <sheetData sheetId="2">
        <row r="6">
          <cell r="B6" t="str">
            <v>Auditoría Interna Proceso Gestión Docencia Servicio 2020</v>
          </cell>
          <cell r="C6">
            <v>6</v>
          </cell>
          <cell r="D6">
            <v>4</v>
          </cell>
          <cell r="E6">
            <v>45226</v>
          </cell>
          <cell r="F6" t="str">
            <v>SI</v>
          </cell>
          <cell r="G6">
            <v>4</v>
          </cell>
          <cell r="H6">
            <v>5</v>
          </cell>
          <cell r="I6">
            <v>4</v>
          </cell>
          <cell r="J6">
            <v>1</v>
          </cell>
          <cell r="K6">
            <v>0</v>
          </cell>
          <cell r="L6">
            <v>0</v>
          </cell>
          <cell r="M6">
            <v>0.8</v>
          </cell>
          <cell r="N6">
            <v>0.2</v>
          </cell>
          <cell r="O6">
            <v>0</v>
          </cell>
          <cell r="P6">
            <v>0.66666666666666663</v>
          </cell>
        </row>
        <row r="7">
          <cell r="B7"/>
          <cell r="C7"/>
          <cell r="D7"/>
          <cell r="E7"/>
          <cell r="F7" t="str">
            <v/>
          </cell>
          <cell r="G7" t="str">
            <v/>
          </cell>
          <cell r="H7" t="str">
            <v/>
          </cell>
          <cell r="I7" t="str">
            <v/>
          </cell>
          <cell r="J7" t="str">
            <v/>
          </cell>
          <cell r="K7" t="str">
            <v/>
          </cell>
          <cell r="L7" t="str">
            <v/>
          </cell>
          <cell r="M7" t="str">
            <v/>
          </cell>
          <cell r="N7" t="str">
            <v/>
          </cell>
          <cell r="O7" t="str">
            <v/>
          </cell>
          <cell r="P7" t="str">
            <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1</v>
          </cell>
          <cell r="C26">
            <v>6</v>
          </cell>
          <cell r="D26">
            <v>4</v>
          </cell>
          <cell r="E26" t="str">
            <v>-</v>
          </cell>
          <cell r="F26">
            <v>1</v>
          </cell>
          <cell r="G26" t="str">
            <v>-</v>
          </cell>
          <cell r="H26">
            <v>5</v>
          </cell>
          <cell r="I26">
            <v>4</v>
          </cell>
          <cell r="J26">
            <v>1</v>
          </cell>
          <cell r="K26">
            <v>0</v>
          </cell>
          <cell r="L26">
            <v>0</v>
          </cell>
          <cell r="M26">
            <v>0.8</v>
          </cell>
          <cell r="N26">
            <v>0.2</v>
          </cell>
          <cell r="O26">
            <v>0</v>
          </cell>
          <cell r="P26">
            <v>0.66666666666666663</v>
          </cell>
        </row>
        <row r="27">
          <cell r="B27"/>
        </row>
        <row r="28">
          <cell r="B28"/>
          <cell r="F28"/>
        </row>
        <row r="29">
          <cell r="B29"/>
          <cell r="F29"/>
        </row>
        <row r="30">
          <cell r="B30"/>
          <cell r="F30"/>
        </row>
      </sheetData>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ema integrado gestión 2021"/>
      <sheetName val="PM Desarrollo Sistema Gestión"/>
      <sheetName val="Cumplimiento"/>
      <sheetName val="Instructivo"/>
      <sheetName val="Tabla informe"/>
      <sheetName val="Hoja2"/>
    </sheetNames>
    <sheetDataSet>
      <sheetData sheetId="0"/>
      <sheetData sheetId="1"/>
      <sheetData sheetId="2">
        <row r="6">
          <cell r="B6" t="str">
            <v>Auditoria Interna Desarrollo Sistema Integrado de Gestión 2021</v>
          </cell>
          <cell r="C6">
            <v>12</v>
          </cell>
          <cell r="D6">
            <v>7</v>
          </cell>
          <cell r="E6">
            <v>44594</v>
          </cell>
          <cell r="F6" t="str">
            <v>SI</v>
          </cell>
          <cell r="G6">
            <v>1</v>
          </cell>
          <cell r="H6">
            <v>17</v>
          </cell>
          <cell r="I6">
            <v>12</v>
          </cell>
          <cell r="J6">
            <v>2</v>
          </cell>
          <cell r="K6">
            <v>0</v>
          </cell>
          <cell r="L6">
            <v>3</v>
          </cell>
          <cell r="M6">
            <v>0.8571428571428571</v>
          </cell>
          <cell r="N6">
            <v>0.14285714285714285</v>
          </cell>
          <cell r="O6">
            <v>0</v>
          </cell>
          <cell r="P6">
            <v>0.58333333333333337</v>
          </cell>
        </row>
        <row r="7">
          <cell r="B7" t="str">
            <v>Auditoría Interna Programa de Auditoria para el Mejoramiento de Calidad (PAMEC) 2022</v>
          </cell>
          <cell r="C7">
            <v>4</v>
          </cell>
          <cell r="D7">
            <v>0</v>
          </cell>
          <cell r="E7"/>
          <cell r="F7" t="str">
            <v>SI</v>
          </cell>
          <cell r="G7">
            <v>0</v>
          </cell>
          <cell r="H7">
            <v>5</v>
          </cell>
          <cell r="I7">
            <v>0</v>
          </cell>
          <cell r="J7">
            <v>0</v>
          </cell>
          <cell r="K7">
            <v>0</v>
          </cell>
          <cell r="L7">
            <v>5</v>
          </cell>
          <cell r="M7" t="str">
            <v>-</v>
          </cell>
          <cell r="N7" t="str">
            <v>-</v>
          </cell>
          <cell r="O7" t="str">
            <v>-</v>
          </cell>
          <cell r="P7">
            <v>0</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2</v>
          </cell>
          <cell r="C26">
            <v>16</v>
          </cell>
          <cell r="D26">
            <v>7</v>
          </cell>
          <cell r="E26" t="str">
            <v>-</v>
          </cell>
          <cell r="F26">
            <v>1</v>
          </cell>
          <cell r="G26" t="str">
            <v>-</v>
          </cell>
          <cell r="H26">
            <v>22</v>
          </cell>
          <cell r="I26">
            <v>12</v>
          </cell>
          <cell r="J26">
            <v>2</v>
          </cell>
          <cell r="K26">
            <v>0</v>
          </cell>
          <cell r="L26">
            <v>8</v>
          </cell>
          <cell r="M26">
            <v>0.8571428571428571</v>
          </cell>
          <cell r="N26">
            <v>0.14285714285714285</v>
          </cell>
          <cell r="O26">
            <v>0</v>
          </cell>
          <cell r="P26">
            <v>0.4375</v>
          </cell>
        </row>
        <row r="27">
          <cell r="B27"/>
          <cell r="C27"/>
          <cell r="D27"/>
          <cell r="E27"/>
          <cell r="F27"/>
          <cell r="G27"/>
          <cell r="H27"/>
          <cell r="I27"/>
          <cell r="J27"/>
          <cell r="K27"/>
          <cell r="L27"/>
          <cell r="M27"/>
          <cell r="P27"/>
        </row>
        <row r="28">
          <cell r="B28"/>
          <cell r="F28"/>
        </row>
        <row r="29">
          <cell r="B29"/>
        </row>
        <row r="30">
          <cell r="B30"/>
        </row>
      </sheetData>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ación Bienes y Serv 2023"/>
      <sheetName val="Seguimiento contratacion 2023-3"/>
      <sheetName val="PM Gestión de la Contratación"/>
      <sheetName val="Cumplimiento"/>
      <sheetName val="Instructivo"/>
      <sheetName val="Tabla informe"/>
      <sheetName val="Hoja2"/>
    </sheetNames>
    <sheetDataSet>
      <sheetData sheetId="0"/>
      <sheetData sheetId="1"/>
      <sheetData sheetId="2"/>
      <sheetData sheetId="3">
        <row r="6">
          <cell r="B6" t="str">
            <v>Auditoría Interna Contratación adquisición de servicios 2021</v>
          </cell>
          <cell r="C6">
            <v>2</v>
          </cell>
          <cell r="D6">
            <v>0</v>
          </cell>
          <cell r="E6"/>
          <cell r="F6" t="str">
            <v>NO</v>
          </cell>
          <cell r="G6" t="str">
            <v/>
          </cell>
          <cell r="H6">
            <v>0</v>
          </cell>
          <cell r="I6">
            <v>0</v>
          </cell>
          <cell r="J6">
            <v>0</v>
          </cell>
          <cell r="K6">
            <v>0</v>
          </cell>
          <cell r="L6">
            <v>0</v>
          </cell>
          <cell r="M6" t="str">
            <v>-</v>
          </cell>
          <cell r="N6" t="str">
            <v>-</v>
          </cell>
          <cell r="O6" t="str">
            <v>-</v>
          </cell>
          <cell r="P6">
            <v>0</v>
          </cell>
        </row>
        <row r="7">
          <cell r="B7" t="str">
            <v>Auditoría Interna Seguimiento periódico a la contratación y supervisión de bienes y servicios 2023-1</v>
          </cell>
          <cell r="C7">
            <v>4</v>
          </cell>
          <cell r="D7">
            <v>0</v>
          </cell>
          <cell r="E7"/>
          <cell r="F7" t="str">
            <v>NO</v>
          </cell>
          <cell r="G7" t="str">
            <v/>
          </cell>
          <cell r="H7">
            <v>0</v>
          </cell>
          <cell r="I7">
            <v>0</v>
          </cell>
          <cell r="J7">
            <v>0</v>
          </cell>
          <cell r="K7">
            <v>0</v>
          </cell>
          <cell r="L7">
            <v>0</v>
          </cell>
          <cell r="M7" t="str">
            <v>-</v>
          </cell>
          <cell r="N7" t="str">
            <v>-</v>
          </cell>
          <cell r="O7" t="str">
            <v>-</v>
          </cell>
          <cell r="P7">
            <v>0</v>
          </cell>
        </row>
        <row r="8">
          <cell r="B8" t="str">
            <v>Auditoría Interna Seguimiento periódico a la contratación y supervisión de bienes y servicios 2023-2</v>
          </cell>
          <cell r="C8">
            <v>3</v>
          </cell>
          <cell r="D8">
            <v>0</v>
          </cell>
          <cell r="E8"/>
          <cell r="F8" t="str">
            <v>SI</v>
          </cell>
          <cell r="G8">
            <v>0</v>
          </cell>
          <cell r="H8">
            <v>6</v>
          </cell>
          <cell r="I8">
            <v>0</v>
          </cell>
          <cell r="J8">
            <v>0</v>
          </cell>
          <cell r="K8">
            <v>0</v>
          </cell>
          <cell r="L8">
            <v>6</v>
          </cell>
          <cell r="M8" t="str">
            <v>-</v>
          </cell>
          <cell r="N8" t="str">
            <v>-</v>
          </cell>
          <cell r="O8" t="str">
            <v>-</v>
          </cell>
          <cell r="P8">
            <v>0</v>
          </cell>
        </row>
        <row r="9">
          <cell r="B9" t="str">
            <v>Auditoría Interna Seguimiento periódico a la contratación y supervisión de bienes y servicios 2023-3</v>
          </cell>
          <cell r="C9">
            <v>2</v>
          </cell>
          <cell r="D9">
            <v>0</v>
          </cell>
          <cell r="E9"/>
          <cell r="F9" t="str">
            <v>NO</v>
          </cell>
          <cell r="G9" t="str">
            <v/>
          </cell>
          <cell r="H9">
            <v>0</v>
          </cell>
          <cell r="I9">
            <v>0</v>
          </cell>
          <cell r="J9">
            <v>0</v>
          </cell>
          <cell r="K9">
            <v>0</v>
          </cell>
          <cell r="L9">
            <v>0</v>
          </cell>
          <cell r="M9" t="str">
            <v>-</v>
          </cell>
          <cell r="N9" t="str">
            <v>-</v>
          </cell>
          <cell r="O9" t="str">
            <v>-</v>
          </cell>
          <cell r="P9">
            <v>0</v>
          </cell>
        </row>
        <row r="10">
          <cell r="B10" t="str">
            <v>Auditoría Interna Seguimiento periódico a la contratación y supervisión de bienes y servicios 2023-4</v>
          </cell>
          <cell r="C10">
            <v>5</v>
          </cell>
          <cell r="D10">
            <v>0</v>
          </cell>
          <cell r="E10"/>
          <cell r="F10" t="str">
            <v>SI</v>
          </cell>
          <cell r="G10">
            <v>0</v>
          </cell>
          <cell r="H10">
            <v>4</v>
          </cell>
          <cell r="I10">
            <v>0</v>
          </cell>
          <cell r="J10">
            <v>0</v>
          </cell>
          <cell r="K10">
            <v>0</v>
          </cell>
          <cell r="L10">
            <v>4</v>
          </cell>
          <cell r="M10" t="str">
            <v>-</v>
          </cell>
          <cell r="N10" t="str">
            <v>-</v>
          </cell>
          <cell r="O10" t="str">
            <v>-</v>
          </cell>
          <cell r="P10">
            <v>0</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5</v>
          </cell>
          <cell r="C26">
            <v>16</v>
          </cell>
          <cell r="D26">
            <v>0</v>
          </cell>
          <cell r="E26" t="str">
            <v>-</v>
          </cell>
          <cell r="F26">
            <v>0.4</v>
          </cell>
          <cell r="G26" t="str">
            <v>-</v>
          </cell>
          <cell r="H26">
            <v>10</v>
          </cell>
          <cell r="I26">
            <v>0</v>
          </cell>
          <cell r="J26">
            <v>0</v>
          </cell>
          <cell r="K26">
            <v>0</v>
          </cell>
          <cell r="L26">
            <v>10</v>
          </cell>
          <cell r="M26" t="str">
            <v>-</v>
          </cell>
          <cell r="N26" t="str">
            <v>-</v>
          </cell>
          <cell r="O26" t="str">
            <v>-</v>
          </cell>
          <cell r="P26">
            <v>0</v>
          </cell>
        </row>
        <row r="27">
          <cell r="B27"/>
          <cell r="C27"/>
          <cell r="D27"/>
          <cell r="E27"/>
          <cell r="F27"/>
          <cell r="G27"/>
          <cell r="H27"/>
          <cell r="I27"/>
          <cell r="J27"/>
          <cell r="K27"/>
          <cell r="L27"/>
          <cell r="M27"/>
          <cell r="P27"/>
        </row>
        <row r="28">
          <cell r="B28"/>
          <cell r="F28"/>
        </row>
        <row r="29">
          <cell r="B29"/>
        </row>
        <row r="30">
          <cell r="B30"/>
        </row>
      </sheetData>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y contrarrefenc 2021"/>
      <sheetName val="PM Referencia Contrarreferencia"/>
      <sheetName val="Cumplimiento"/>
      <sheetName val="Instructivo"/>
      <sheetName val="Tabla informe"/>
      <sheetName val="Hoja2"/>
    </sheetNames>
    <sheetDataSet>
      <sheetData sheetId="0"/>
      <sheetData sheetId="1"/>
      <sheetData sheetId="2">
        <row r="6">
          <cell r="B6" t="str">
            <v>Auditoría Interna Programa de Referencia y Contrareferencia 2021</v>
          </cell>
          <cell r="C6">
            <v>1</v>
          </cell>
          <cell r="D6">
            <v>0</v>
          </cell>
          <cell r="E6">
            <v>45231</v>
          </cell>
          <cell r="F6" t="str">
            <v>SI</v>
          </cell>
          <cell r="G6">
            <v>2</v>
          </cell>
          <cell r="H6">
            <v>12</v>
          </cell>
          <cell r="I6">
            <v>0</v>
          </cell>
          <cell r="J6">
            <v>4</v>
          </cell>
          <cell r="K6">
            <v>8</v>
          </cell>
          <cell r="L6">
            <v>0</v>
          </cell>
          <cell r="M6">
            <v>0</v>
          </cell>
          <cell r="N6">
            <v>0.33333333333333331</v>
          </cell>
          <cell r="O6">
            <v>0.66666666666666663</v>
          </cell>
          <cell r="P6">
            <v>0</v>
          </cell>
        </row>
        <row r="7">
          <cell r="B7" t="str">
            <v>Auditoría Interna Programa de Referencia y Contrareferencia 2023</v>
          </cell>
          <cell r="C7">
            <v>3</v>
          </cell>
          <cell r="D7">
            <v>0</v>
          </cell>
          <cell r="E7"/>
          <cell r="F7" t="str">
            <v>NO</v>
          </cell>
          <cell r="G7" t="str">
            <v/>
          </cell>
          <cell r="H7">
            <v>0</v>
          </cell>
          <cell r="I7">
            <v>0</v>
          </cell>
          <cell r="J7">
            <v>0</v>
          </cell>
          <cell r="K7">
            <v>0</v>
          </cell>
          <cell r="L7">
            <v>0</v>
          </cell>
          <cell r="M7" t="str">
            <v>-</v>
          </cell>
          <cell r="N7" t="str">
            <v>-</v>
          </cell>
          <cell r="O7" t="str">
            <v>-</v>
          </cell>
          <cell r="P7">
            <v>0</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2</v>
          </cell>
          <cell r="C26">
            <v>4</v>
          </cell>
          <cell r="D26">
            <v>0</v>
          </cell>
          <cell r="E26" t="str">
            <v>-</v>
          </cell>
          <cell r="F26">
            <v>0.5</v>
          </cell>
          <cell r="G26" t="str">
            <v>-</v>
          </cell>
          <cell r="H26">
            <v>12</v>
          </cell>
          <cell r="I26">
            <v>0</v>
          </cell>
          <cell r="J26">
            <v>4</v>
          </cell>
          <cell r="K26">
            <v>8</v>
          </cell>
          <cell r="L26">
            <v>0</v>
          </cell>
          <cell r="M26">
            <v>0</v>
          </cell>
          <cell r="N26">
            <v>0.33333333333333331</v>
          </cell>
          <cell r="O26">
            <v>0.66666666666666663</v>
          </cell>
          <cell r="P26">
            <v>0</v>
          </cell>
        </row>
        <row r="27">
          <cell r="B27"/>
        </row>
        <row r="28">
          <cell r="B28"/>
          <cell r="F28"/>
        </row>
        <row r="29">
          <cell r="B29"/>
          <cell r="F29"/>
        </row>
        <row r="30">
          <cell r="B30"/>
          <cell r="F30"/>
        </row>
      </sheetData>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quidación de convenios 2021"/>
      <sheetName val="Condiciones almacenamiento 2022"/>
      <sheetName val="PM Pr Gestión Salud Pública"/>
      <sheetName val="Cumplimiento"/>
      <sheetName val="Instructivo"/>
      <sheetName val="Tabla informe"/>
      <sheetName val="Hoja2"/>
    </sheetNames>
    <sheetDataSet>
      <sheetData sheetId="0"/>
      <sheetData sheetId="1"/>
      <sheetData sheetId="2"/>
      <sheetData sheetId="3">
        <row r="6">
          <cell r="B6" t="str">
            <v>Auditoría Interna Liquidación de convenios interadministrativos 2021</v>
          </cell>
          <cell r="C6">
            <v>1</v>
          </cell>
          <cell r="D6">
            <v>0</v>
          </cell>
          <cell r="E6"/>
          <cell r="F6" t="str">
            <v>SI</v>
          </cell>
          <cell r="G6">
            <v>0</v>
          </cell>
          <cell r="H6">
            <v>8</v>
          </cell>
          <cell r="I6">
            <v>0</v>
          </cell>
          <cell r="J6">
            <v>0</v>
          </cell>
          <cell r="K6">
            <v>0</v>
          </cell>
          <cell r="L6">
            <v>8</v>
          </cell>
          <cell r="M6" t="str">
            <v>-</v>
          </cell>
          <cell r="N6" t="str">
            <v>-</v>
          </cell>
          <cell r="O6" t="str">
            <v>-</v>
          </cell>
          <cell r="P6">
            <v>0</v>
          </cell>
        </row>
        <row r="7">
          <cell r="B7" t="str">
            <v>Auditoría Interna Condiciones de Almacenamiento de Medicamentos y Dispositivos Médicos Proyectos Salud Pública 2022</v>
          </cell>
          <cell r="C7">
            <v>1</v>
          </cell>
          <cell r="D7">
            <v>0</v>
          </cell>
          <cell r="E7">
            <v>44740</v>
          </cell>
          <cell r="F7" t="str">
            <v>SI</v>
          </cell>
          <cell r="G7">
            <v>2</v>
          </cell>
          <cell r="H7">
            <v>12</v>
          </cell>
          <cell r="I7">
            <v>3</v>
          </cell>
          <cell r="J7">
            <v>9</v>
          </cell>
          <cell r="K7">
            <v>0</v>
          </cell>
          <cell r="L7">
            <v>0</v>
          </cell>
          <cell r="M7">
            <v>0.25</v>
          </cell>
          <cell r="N7">
            <v>0.75</v>
          </cell>
          <cell r="O7">
            <v>0</v>
          </cell>
          <cell r="P7">
            <v>0</v>
          </cell>
        </row>
        <row r="8">
          <cell r="B8" t="str">
            <v>Auditoría Interna Cumplimiento contrato interadministrativo para operar la ruta de promoción y mantenimiento de la salud - MAITE 2022</v>
          </cell>
          <cell r="C8">
            <v>1</v>
          </cell>
          <cell r="D8">
            <v>0</v>
          </cell>
          <cell r="E8"/>
          <cell r="F8" t="str">
            <v>NO</v>
          </cell>
          <cell r="G8" t="str">
            <v/>
          </cell>
          <cell r="H8">
            <v>0</v>
          </cell>
          <cell r="I8">
            <v>0</v>
          </cell>
          <cell r="J8">
            <v>0</v>
          </cell>
          <cell r="K8">
            <v>0</v>
          </cell>
          <cell r="L8">
            <v>0</v>
          </cell>
          <cell r="M8" t="str">
            <v>-</v>
          </cell>
          <cell r="N8" t="str">
            <v>-</v>
          </cell>
          <cell r="O8" t="str">
            <v>-</v>
          </cell>
          <cell r="P8">
            <v>0</v>
          </cell>
        </row>
        <row r="9">
          <cell r="B9" t="str">
            <v>Auditoría Interna Proceso Gestión de la Salud Pública y Territorial 2023</v>
          </cell>
          <cell r="C9">
            <v>0</v>
          </cell>
          <cell r="D9"/>
          <cell r="E9"/>
          <cell r="F9" t="str">
            <v>NO APLICA</v>
          </cell>
          <cell r="G9" t="str">
            <v/>
          </cell>
          <cell r="H9">
            <v>0</v>
          </cell>
          <cell r="I9">
            <v>0</v>
          </cell>
          <cell r="J9">
            <v>0</v>
          </cell>
          <cell r="K9">
            <v>0</v>
          </cell>
          <cell r="L9">
            <v>0</v>
          </cell>
          <cell r="M9" t="str">
            <v>-</v>
          </cell>
          <cell r="N9" t="str">
            <v>-</v>
          </cell>
          <cell r="O9" t="str">
            <v>-</v>
          </cell>
          <cell r="P9" t="str">
            <v>-</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4</v>
          </cell>
          <cell r="C26">
            <v>3</v>
          </cell>
          <cell r="D26">
            <v>0</v>
          </cell>
          <cell r="E26" t="str">
            <v>-</v>
          </cell>
          <cell r="F26">
            <v>0.66666666666666663</v>
          </cell>
          <cell r="G26" t="str">
            <v>-</v>
          </cell>
          <cell r="H26">
            <v>20</v>
          </cell>
          <cell r="I26">
            <v>3</v>
          </cell>
          <cell r="J26">
            <v>9</v>
          </cell>
          <cell r="K26">
            <v>0</v>
          </cell>
          <cell r="L26">
            <v>8</v>
          </cell>
          <cell r="M26">
            <v>0.25</v>
          </cell>
          <cell r="N26">
            <v>0.75</v>
          </cell>
          <cell r="O26">
            <v>0</v>
          </cell>
          <cell r="P26">
            <v>0</v>
          </cell>
        </row>
        <row r="27">
          <cell r="B27"/>
          <cell r="C27"/>
          <cell r="D27"/>
          <cell r="E27"/>
          <cell r="F27"/>
          <cell r="G27"/>
          <cell r="H27"/>
          <cell r="I27"/>
          <cell r="J27"/>
          <cell r="K27"/>
          <cell r="L27"/>
          <cell r="M27"/>
          <cell r="P27"/>
        </row>
        <row r="28">
          <cell r="B28"/>
          <cell r="F28"/>
        </row>
        <row r="29">
          <cell r="B29"/>
        </row>
        <row r="30">
          <cell r="B30"/>
        </row>
      </sheetData>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Comunicación Organizacional"/>
      <sheetName val="Cumplimiento"/>
      <sheetName val="Instructivo"/>
      <sheetName val="Tabla informe"/>
      <sheetName val="Hoja2"/>
    </sheetNames>
    <sheetDataSet>
      <sheetData sheetId="0"/>
      <sheetData sheetId="1">
        <row r="6">
          <cell r="B6" t="str">
            <v>Auditoría Interna Componente Comunicación organizacional 2022</v>
          </cell>
          <cell r="C6">
            <v>5</v>
          </cell>
          <cell r="D6">
            <v>0</v>
          </cell>
          <cell r="E6"/>
          <cell r="F6" t="str">
            <v>NO</v>
          </cell>
          <cell r="G6" t="str">
            <v/>
          </cell>
          <cell r="H6">
            <v>0</v>
          </cell>
          <cell r="I6">
            <v>0</v>
          </cell>
          <cell r="J6">
            <v>0</v>
          </cell>
          <cell r="K6">
            <v>0</v>
          </cell>
          <cell r="L6">
            <v>0</v>
          </cell>
          <cell r="M6" t="str">
            <v>-</v>
          </cell>
          <cell r="N6" t="str">
            <v>-</v>
          </cell>
          <cell r="O6" t="str">
            <v>-</v>
          </cell>
          <cell r="P6">
            <v>0</v>
          </cell>
        </row>
        <row r="7">
          <cell r="B7"/>
          <cell r="C7"/>
          <cell r="D7"/>
          <cell r="E7"/>
          <cell r="F7" t="str">
            <v/>
          </cell>
          <cell r="G7" t="str">
            <v/>
          </cell>
          <cell r="H7" t="str">
            <v/>
          </cell>
          <cell r="I7" t="str">
            <v/>
          </cell>
          <cell r="J7" t="str">
            <v/>
          </cell>
          <cell r="K7" t="str">
            <v/>
          </cell>
          <cell r="L7" t="str">
            <v/>
          </cell>
          <cell r="M7" t="str">
            <v/>
          </cell>
          <cell r="N7" t="str">
            <v/>
          </cell>
          <cell r="O7" t="str">
            <v/>
          </cell>
          <cell r="P7" t="str">
            <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1</v>
          </cell>
          <cell r="C26">
            <v>5</v>
          </cell>
          <cell r="D26">
            <v>0</v>
          </cell>
          <cell r="E26" t="str">
            <v>-</v>
          </cell>
          <cell r="F26">
            <v>0</v>
          </cell>
          <cell r="G26" t="str">
            <v>-</v>
          </cell>
          <cell r="H26">
            <v>0</v>
          </cell>
          <cell r="I26">
            <v>0</v>
          </cell>
          <cell r="J26">
            <v>0</v>
          </cell>
          <cell r="K26">
            <v>0</v>
          </cell>
          <cell r="L26">
            <v>0</v>
          </cell>
          <cell r="M26" t="str">
            <v>-</v>
          </cell>
          <cell r="N26" t="str">
            <v>-</v>
          </cell>
          <cell r="O26" t="str">
            <v>-</v>
          </cell>
          <cell r="P26">
            <v>0</v>
          </cell>
        </row>
        <row r="27">
          <cell r="B27"/>
          <cell r="C27"/>
          <cell r="D27"/>
          <cell r="E27"/>
          <cell r="F27"/>
          <cell r="G27"/>
          <cell r="H27"/>
          <cell r="I27"/>
          <cell r="J27"/>
          <cell r="K27"/>
          <cell r="L27"/>
          <cell r="M27"/>
          <cell r="P27"/>
        </row>
        <row r="28">
          <cell r="B28"/>
          <cell r="F28"/>
        </row>
        <row r="29">
          <cell r="B29"/>
        </row>
        <row r="30">
          <cell r="B30"/>
        </row>
      </sheetData>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Plan de Mejora y Seguimiento"/>
      <sheetName val="Hoja2"/>
    </sheetNames>
    <sheetDataSet>
      <sheetData sheetId="0"/>
      <sheetData sheetId="1">
        <row r="2">
          <cell r="B2" t="str">
            <v>DIRECCIONAMIENTO Y PLANEACIÓN</v>
          </cell>
          <cell r="G2" t="str">
            <v>DIRECCIONAMIENTO Y GERENCIA</v>
          </cell>
        </row>
        <row r="3">
          <cell r="B3" t="str">
            <v>DESARROLLO DEL SISTEMA DE GESTIÓN</v>
          </cell>
          <cell r="G3" t="str">
            <v>MEJORAMIENTO</v>
          </cell>
        </row>
        <row r="4">
          <cell r="B4" t="str">
            <v>GESTIÓN DEL CONOCIMIENTO Y LA INNOVACIÓN</v>
          </cell>
          <cell r="G4" t="str">
            <v>CLIENTE ASISTENCIAL</v>
          </cell>
        </row>
        <row r="5">
          <cell r="B5" t="str">
            <v>GESTIÓN DE VENTA DE SERVICIOS</v>
          </cell>
          <cell r="G5" t="str">
            <v>GERENCIA DE LA INFORMACIÓN</v>
          </cell>
        </row>
        <row r="6">
          <cell r="B6" t="str">
            <v>GESTIÓN JURÍDICA</v>
          </cell>
          <cell r="G6" t="str">
            <v>GESTIÓN DEL AMBIENTE FÍSICO Y DE LA TECNOLOGÍA</v>
          </cell>
        </row>
        <row r="7">
          <cell r="B7" t="str">
            <v>GESTIÓN DE BIENES Y SERVICIOS</v>
          </cell>
          <cell r="G7" t="str">
            <v>GESTIÓN DEL TALENTO HUMANO</v>
          </cell>
        </row>
        <row r="8">
          <cell r="B8" t="str">
            <v>GESTIÓN DEL SISTEMA DE INFORMACIÓN</v>
          </cell>
          <cell r="G8" t="str">
            <v>EQ. PRIMARIO UPSS BELÉN</v>
          </cell>
        </row>
        <row r="9">
          <cell r="B9" t="str">
            <v>GESTIÓN DOCUMENTAL</v>
          </cell>
          <cell r="G9" t="str">
            <v>EQ. PRIMARIO UPSS SAP</v>
          </cell>
        </row>
        <row r="10">
          <cell r="B10" t="str">
            <v>GESTIÓN DEL TALENTO HUMANO</v>
          </cell>
          <cell r="G10" t="str">
            <v>EQ. PRIMARIO UPSS SAN CRISTÓBAL</v>
          </cell>
        </row>
        <row r="11">
          <cell r="B11" t="str">
            <v>GESTIÓN FINANCIERA</v>
          </cell>
          <cell r="G11" t="str">
            <v>EQ. PRIMARIO UPSS BUENOS AIRES</v>
          </cell>
        </row>
        <row r="12">
          <cell r="B12" t="str">
            <v>GESTIÓN DEL CONTROL INTERNO DISCIPLINARIO</v>
          </cell>
          <cell r="G12" t="str">
            <v>EQ. PRIMARIO UPSS MANRIQUE</v>
          </cell>
        </row>
        <row r="13">
          <cell r="B13" t="str">
            <v>ATENCIÓN EN P Y P</v>
          </cell>
          <cell r="G13" t="str">
            <v>EQ. PRIMARIO UPSS SAN JAVIER</v>
          </cell>
        </row>
        <row r="14">
          <cell r="B14" t="str">
            <v>ATENCIÓN AMBULATORIA</v>
          </cell>
          <cell r="G14" t="str">
            <v>EQ. PRIMARIO UPSS CASTILLA</v>
          </cell>
        </row>
        <row r="15">
          <cell r="B15" t="str">
            <v>ATENCIÓN EN URGENCIAS</v>
          </cell>
          <cell r="G15" t="str">
            <v>EQ. PRIMARIO UPSS SANTA CRUZ</v>
          </cell>
        </row>
        <row r="16">
          <cell r="B16" t="str">
            <v>ATENCIÓN EN HOSPITALIZACIÓN</v>
          </cell>
          <cell r="G16" t="str">
            <v>EQ. PRIMARIO UPSS DOCE DE OCTUBRE</v>
          </cell>
        </row>
        <row r="17">
          <cell r="B17" t="str">
            <v>ATENCIÓN QUIRÚRGICA</v>
          </cell>
          <cell r="G17" t="str">
            <v>EQ. PRIMARIO UPSS NUEVO OCCIDENTE</v>
          </cell>
        </row>
        <row r="18">
          <cell r="B18" t="str">
            <v>ATENCIÓN EN LABORATORIO CLÍNICO</v>
          </cell>
        </row>
        <row r="19">
          <cell r="B19" t="str">
            <v>ATENCIÓN EN IMÁGENES DIAGNÓSTICAS</v>
          </cell>
        </row>
        <row r="20">
          <cell r="B20" t="str">
            <v>GESTIÓN DEL SERVICIO FARMACÉUTICO</v>
          </cell>
        </row>
        <row r="21">
          <cell r="B21" t="str">
            <v>GESTIÓN DE DOCENCIA SERVICIO</v>
          </cell>
        </row>
        <row r="22">
          <cell r="B22" t="str">
            <v>GESTIÓN DE LA EVALUACIÓN</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EC 2022"/>
      <sheetName val="Tablero indicadores 2023"/>
      <sheetName val="PM Direccionamiento y Planeació"/>
      <sheetName val="Cumplimiento"/>
      <sheetName val="Instructivo"/>
      <sheetName val="Tabla informe"/>
      <sheetName val="Hoja2"/>
    </sheetNames>
    <sheetDataSet>
      <sheetData sheetId="0"/>
      <sheetData sheetId="1"/>
      <sheetData sheetId="2"/>
      <sheetData sheetId="3">
        <row r="6">
          <cell r="B6" t="str">
            <v>Auditoría Interna Tabla de indicadores del plan estratégico 2023</v>
          </cell>
          <cell r="C6">
            <v>3</v>
          </cell>
          <cell r="D6">
            <v>0</v>
          </cell>
          <cell r="E6"/>
          <cell r="F6" t="str">
            <v>SI</v>
          </cell>
          <cell r="G6">
            <v>0</v>
          </cell>
          <cell r="H6">
            <v>6</v>
          </cell>
          <cell r="I6">
            <v>0</v>
          </cell>
          <cell r="J6">
            <v>0</v>
          </cell>
          <cell r="K6">
            <v>0</v>
          </cell>
          <cell r="L6">
            <v>6</v>
          </cell>
          <cell r="M6" t="str">
            <v>-</v>
          </cell>
          <cell r="N6" t="str">
            <v>-</v>
          </cell>
          <cell r="O6" t="str">
            <v>-</v>
          </cell>
          <cell r="P6">
            <v>0</v>
          </cell>
        </row>
        <row r="7">
          <cell r="B7"/>
          <cell r="C7"/>
          <cell r="D7"/>
          <cell r="E7"/>
          <cell r="F7" t="str">
            <v/>
          </cell>
          <cell r="G7" t="str">
            <v/>
          </cell>
          <cell r="H7" t="str">
            <v/>
          </cell>
          <cell r="I7" t="str">
            <v/>
          </cell>
          <cell r="J7" t="str">
            <v/>
          </cell>
          <cell r="K7" t="str">
            <v/>
          </cell>
          <cell r="L7" t="str">
            <v/>
          </cell>
          <cell r="M7" t="str">
            <v/>
          </cell>
          <cell r="N7" t="str">
            <v/>
          </cell>
          <cell r="O7" t="str">
            <v/>
          </cell>
          <cell r="P7" t="str">
            <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1</v>
          </cell>
          <cell r="C26">
            <v>3</v>
          </cell>
          <cell r="D26">
            <v>0</v>
          </cell>
          <cell r="E26" t="str">
            <v>-</v>
          </cell>
          <cell r="F26">
            <v>1</v>
          </cell>
          <cell r="G26" t="str">
            <v>-</v>
          </cell>
          <cell r="H26">
            <v>6</v>
          </cell>
          <cell r="I26">
            <v>0</v>
          </cell>
          <cell r="J26">
            <v>0</v>
          </cell>
          <cell r="K26">
            <v>0</v>
          </cell>
          <cell r="L26">
            <v>6</v>
          </cell>
          <cell r="M26" t="str">
            <v>-</v>
          </cell>
          <cell r="N26" t="str">
            <v>-</v>
          </cell>
          <cell r="O26" t="str">
            <v>-</v>
          </cell>
          <cell r="P26">
            <v>0</v>
          </cell>
        </row>
        <row r="27">
          <cell r="B27"/>
          <cell r="C27"/>
          <cell r="D27"/>
          <cell r="E27"/>
          <cell r="F27"/>
          <cell r="G27"/>
          <cell r="H27"/>
          <cell r="I27"/>
          <cell r="J27"/>
          <cell r="K27"/>
          <cell r="L27"/>
          <cell r="M27"/>
          <cell r="P27"/>
        </row>
        <row r="28">
          <cell r="B28"/>
          <cell r="F28"/>
        </row>
        <row r="29">
          <cell r="B29"/>
        </row>
        <row r="30">
          <cell r="B30"/>
        </row>
      </sheetData>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Auditorías Integrales"/>
      <sheetName val="Cumplimiento"/>
      <sheetName val="Instructivo"/>
      <sheetName val="Tabla informe"/>
      <sheetName val="Hoja2"/>
    </sheetNames>
    <sheetDataSet>
      <sheetData sheetId="0"/>
      <sheetData sheetId="1">
        <row r="6">
          <cell r="B6" t="str">
            <v>Auditoría Interna Auditoria integral UPSS 1 2023</v>
          </cell>
          <cell r="C6">
            <v>8</v>
          </cell>
          <cell r="D6">
            <v>0</v>
          </cell>
          <cell r="E6"/>
          <cell r="F6" t="str">
            <v>NO</v>
          </cell>
          <cell r="G6" t="str">
            <v/>
          </cell>
          <cell r="H6">
            <v>0</v>
          </cell>
          <cell r="I6">
            <v>0</v>
          </cell>
          <cell r="J6">
            <v>0</v>
          </cell>
          <cell r="K6">
            <v>0</v>
          </cell>
          <cell r="L6">
            <v>0</v>
          </cell>
          <cell r="M6" t="str">
            <v>-</v>
          </cell>
          <cell r="N6" t="str">
            <v>-</v>
          </cell>
          <cell r="O6" t="str">
            <v>-</v>
          </cell>
          <cell r="P6">
            <v>0</v>
          </cell>
        </row>
        <row r="7">
          <cell r="B7" t="str">
            <v>Auditoría Interna Auditoria integral UPSS 2 2023</v>
          </cell>
          <cell r="C7">
            <v>5</v>
          </cell>
          <cell r="D7">
            <v>0</v>
          </cell>
          <cell r="E7"/>
          <cell r="F7" t="str">
            <v>NO</v>
          </cell>
          <cell r="G7" t="str">
            <v/>
          </cell>
          <cell r="H7">
            <v>0</v>
          </cell>
          <cell r="I7">
            <v>0</v>
          </cell>
          <cell r="J7">
            <v>0</v>
          </cell>
          <cell r="K7">
            <v>0</v>
          </cell>
          <cell r="L7">
            <v>0</v>
          </cell>
          <cell r="M7" t="str">
            <v>-</v>
          </cell>
          <cell r="N7" t="str">
            <v>-</v>
          </cell>
          <cell r="O7" t="str">
            <v>-</v>
          </cell>
          <cell r="P7">
            <v>0</v>
          </cell>
        </row>
        <row r="8">
          <cell r="B8" t="str">
            <v>Auditoría Interna Auditoria integral UPSS 3 2023</v>
          </cell>
          <cell r="C8">
            <v>5</v>
          </cell>
          <cell r="D8">
            <v>0</v>
          </cell>
          <cell r="E8"/>
          <cell r="F8" t="str">
            <v>NO</v>
          </cell>
          <cell r="G8" t="str">
            <v/>
          </cell>
          <cell r="H8">
            <v>0</v>
          </cell>
          <cell r="I8">
            <v>0</v>
          </cell>
          <cell r="J8">
            <v>0</v>
          </cell>
          <cell r="K8">
            <v>0</v>
          </cell>
          <cell r="L8">
            <v>0</v>
          </cell>
          <cell r="M8" t="str">
            <v>-</v>
          </cell>
          <cell r="N8" t="str">
            <v>-</v>
          </cell>
          <cell r="O8" t="str">
            <v>-</v>
          </cell>
          <cell r="P8">
            <v>0</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3</v>
          </cell>
          <cell r="C26">
            <v>18</v>
          </cell>
          <cell r="D26">
            <v>0</v>
          </cell>
          <cell r="E26" t="str">
            <v>-</v>
          </cell>
          <cell r="F26">
            <v>0</v>
          </cell>
          <cell r="G26" t="str">
            <v>-</v>
          </cell>
          <cell r="H26">
            <v>0</v>
          </cell>
          <cell r="I26">
            <v>0</v>
          </cell>
          <cell r="J26">
            <v>0</v>
          </cell>
          <cell r="K26">
            <v>0</v>
          </cell>
          <cell r="L26">
            <v>0</v>
          </cell>
          <cell r="M26" t="str">
            <v>-</v>
          </cell>
          <cell r="N26" t="str">
            <v>-</v>
          </cell>
          <cell r="O26" t="str">
            <v>-</v>
          </cell>
          <cell r="P26">
            <v>0</v>
          </cell>
        </row>
        <row r="27">
          <cell r="B27"/>
          <cell r="C27"/>
          <cell r="D27"/>
          <cell r="E27"/>
          <cell r="F27"/>
          <cell r="G27"/>
          <cell r="H27"/>
          <cell r="I27"/>
          <cell r="J27"/>
          <cell r="K27"/>
          <cell r="L27"/>
        </row>
        <row r="28">
          <cell r="B28"/>
          <cell r="F28"/>
        </row>
        <row r="29">
          <cell r="B29"/>
          <cell r="F29"/>
        </row>
        <row r="30">
          <cell r="B30"/>
          <cell r="F30"/>
        </row>
      </sheetData>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Gestión Sistema Información"/>
      <sheetName val="Cumplimiento"/>
      <sheetName val="Instructivo"/>
      <sheetName val="Tabla informe"/>
      <sheetName val="Hoja2"/>
    </sheetNames>
    <sheetDataSet>
      <sheetData sheetId="0"/>
      <sheetData sheetId="1">
        <row r="6">
          <cell r="B6" t="str">
            <v>Proceso Gestión Sistemas de Información componente seguridad de la información 2023</v>
          </cell>
          <cell r="C6">
            <v>9</v>
          </cell>
          <cell r="D6">
            <v>0</v>
          </cell>
          <cell r="E6"/>
          <cell r="F6" t="str">
            <v>NO</v>
          </cell>
          <cell r="G6" t="str">
            <v/>
          </cell>
          <cell r="H6">
            <v>0</v>
          </cell>
          <cell r="I6">
            <v>0</v>
          </cell>
          <cell r="J6">
            <v>0</v>
          </cell>
          <cell r="K6">
            <v>0</v>
          </cell>
          <cell r="L6">
            <v>0</v>
          </cell>
          <cell r="M6" t="str">
            <v>-</v>
          </cell>
          <cell r="N6" t="str">
            <v>-</v>
          </cell>
          <cell r="O6" t="str">
            <v>-</v>
          </cell>
          <cell r="P6">
            <v>0</v>
          </cell>
        </row>
        <row r="7">
          <cell r="B7"/>
          <cell r="C7"/>
          <cell r="D7"/>
          <cell r="E7"/>
          <cell r="F7" t="str">
            <v/>
          </cell>
          <cell r="G7" t="str">
            <v/>
          </cell>
          <cell r="H7" t="str">
            <v/>
          </cell>
          <cell r="I7" t="str">
            <v/>
          </cell>
          <cell r="J7" t="str">
            <v/>
          </cell>
          <cell r="K7" t="str">
            <v/>
          </cell>
          <cell r="L7" t="str">
            <v/>
          </cell>
          <cell r="M7" t="str">
            <v/>
          </cell>
          <cell r="N7" t="str">
            <v/>
          </cell>
          <cell r="O7" t="str">
            <v/>
          </cell>
          <cell r="P7" t="str">
            <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1</v>
          </cell>
          <cell r="C26">
            <v>9</v>
          </cell>
          <cell r="D26">
            <v>0</v>
          </cell>
          <cell r="E26" t="str">
            <v>-</v>
          </cell>
          <cell r="F26">
            <v>0</v>
          </cell>
          <cell r="G26" t="str">
            <v>-</v>
          </cell>
          <cell r="H26">
            <v>0</v>
          </cell>
          <cell r="I26">
            <v>0</v>
          </cell>
          <cell r="J26">
            <v>0</v>
          </cell>
          <cell r="K26">
            <v>0</v>
          </cell>
          <cell r="L26">
            <v>0</v>
          </cell>
          <cell r="M26" t="str">
            <v>-</v>
          </cell>
          <cell r="N26" t="str">
            <v>-</v>
          </cell>
          <cell r="O26" t="str">
            <v>-</v>
          </cell>
          <cell r="P26">
            <v>0</v>
          </cell>
        </row>
        <row r="27">
          <cell r="B27"/>
          <cell r="C27"/>
          <cell r="D27"/>
          <cell r="E27"/>
          <cell r="F27"/>
          <cell r="G27"/>
          <cell r="H27"/>
          <cell r="I27"/>
          <cell r="J27"/>
          <cell r="K27"/>
          <cell r="L27"/>
          <cell r="M27"/>
          <cell r="P27"/>
        </row>
        <row r="28">
          <cell r="B28"/>
          <cell r="F28"/>
        </row>
        <row r="29">
          <cell r="B29"/>
        </row>
        <row r="30">
          <cell r="B30"/>
        </row>
      </sheetData>
      <sheetData sheetId="2"/>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orías Riesgos 05-01-2024"/>
      <sheetName val="Auditorías Riesgos 10012024"/>
      <sheetName val="Auditorías Riesgos 2019-2023"/>
      <sheetName val="PROCESOS"/>
      <sheetName val="UNIDADES ADMINISTRATIVAS"/>
      <sheetName val="Consolidado por Año 05-01-2024"/>
      <sheetName val="Consolidado por Año 10012024"/>
      <sheetName val="Consolidado por Año"/>
      <sheetName val="Consolidado por Pr. 05-01-2024"/>
      <sheetName val="Consolidado por Pr. 10012024"/>
      <sheetName val="Consolidado por Proceso"/>
      <sheetName val="Consolidado por Unidad Administ"/>
      <sheetName val="Consolidado por ProcesoX"/>
      <sheetName val="Tabla para informe"/>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f_FECHA"/>
      <sheetName val="VF GNRAL_2011 (4)"/>
      <sheetName val="CONTRALORÍA"/>
      <sheetName val="Hoja3"/>
      <sheetName val="VF GNRAL_2011 (5)"/>
      <sheetName val="Base"/>
      <sheetName val="DOCUMENTOS RIK"/>
      <sheetName val="Hoja8"/>
      <sheetName val="VF-GENERAL-2012"/>
      <sheetName val="FECHA"/>
    </sheetNames>
    <sheetDataSet>
      <sheetData sheetId="0"/>
      <sheetData sheetId="1"/>
      <sheetData sheetId="2"/>
      <sheetData sheetId="3"/>
      <sheetData sheetId="4"/>
      <sheetData sheetId="5"/>
      <sheetData sheetId="6"/>
      <sheetData sheetId="7"/>
      <sheetData sheetId="8"/>
      <sheetData sheetId="9">
        <row r="1">
          <cell r="A1" t="str">
            <v>movn_numero</v>
          </cell>
          <cell r="B1" t="str">
            <v>movf_fecha</v>
          </cell>
          <cell r="C1" t="str">
            <v>movn_ubicacion</v>
          </cell>
          <cell r="D1" t="str">
            <v>movc_documento</v>
          </cell>
          <cell r="E1" t="str">
            <v>movt_observacion</v>
          </cell>
          <cell r="F1" t="str">
            <v>movc_impreso</v>
          </cell>
          <cell r="G1" t="str">
            <v>movc_marca</v>
          </cell>
          <cell r="H1" t="str">
            <v>movc_estado</v>
          </cell>
          <cell r="I1" t="str">
            <v>movn_empresa</v>
          </cell>
          <cell r="J1" t="str">
            <v>movv_vendedor</v>
          </cell>
          <cell r="K1" t="str">
            <v>terc_nombre</v>
          </cell>
          <cell r="L1" t="str">
            <v>movn_documento1</v>
          </cell>
          <cell r="M1" t="str">
            <v>movn_documento2</v>
          </cell>
          <cell r="N1" t="str">
            <v>movv_tercero</v>
          </cell>
          <cell r="O1" t="str">
            <v>movf_presupuesto</v>
          </cell>
          <cell r="P1" t="str">
            <v>terc_nombre</v>
          </cell>
          <cell r="Q1" t="str">
            <v>movn_bodega</v>
          </cell>
          <cell r="R1" t="str">
            <v>ubic_nombre</v>
          </cell>
          <cell r="S1" t="str">
            <v>movn_direccion</v>
          </cell>
          <cell r="T1" t="str">
            <v>movv_total</v>
          </cell>
          <cell r="U1" t="str">
            <v>movc_documento_ori</v>
          </cell>
          <cell r="V1" t="str">
            <v>movv_tasa_cambio</v>
          </cell>
          <cell r="W1" t="str">
            <v>tern_moneda</v>
          </cell>
          <cell r="X1" t="str">
            <v>movn_condicion_pago</v>
          </cell>
          <cell r="Y1" t="str">
            <v>movn_moneda</v>
          </cell>
          <cell r="Z1" t="str">
            <v>movn_negocio</v>
          </cell>
          <cell r="AA1" t="str">
            <v>movc_aplica</v>
          </cell>
          <cell r="AB1" t="str">
            <v>movc_doc_origen</v>
          </cell>
          <cell r="AC1" t="str">
            <v>movv_ajuste</v>
          </cell>
          <cell r="AD1" t="str">
            <v>movn_anno</v>
          </cell>
          <cell r="AE1" t="str">
            <v>movn_documento</v>
          </cell>
          <cell r="AF1" t="str">
            <v>docc_nombre</v>
          </cell>
          <cell r="AG1" t="str">
            <v>movc_concepto</v>
          </cell>
          <cell r="AH1" t="str">
            <v>conc_nombre</v>
          </cell>
          <cell r="AI1" t="str">
            <v>movc_documento1</v>
          </cell>
          <cell r="AJ1" t="str">
            <v>movn_ubicacion1</v>
          </cell>
          <cell r="AK1" t="str">
            <v>movf_confirmacion</v>
          </cell>
          <cell r="AL1" t="str">
            <v>movc_origen</v>
          </cell>
          <cell r="AM1" t="str">
            <v>movc_status</v>
          </cell>
          <cell r="AN1" t="str">
            <v>movc_aprueba</v>
          </cell>
          <cell r="AO1" t="str">
            <v>movv_proyecto_eka</v>
          </cell>
          <cell r="AP1" t="str">
            <v>movv_contrato_eka</v>
          </cell>
          <cell r="AQ1" t="str">
            <v>movn_plan</v>
          </cell>
          <cell r="AR1" t="str">
            <v>movn_centro_costo</v>
          </cell>
          <cell r="AS1" t="str">
            <v>ubic_nombre</v>
          </cell>
        </row>
        <row r="2">
          <cell r="A2">
            <v>5293</v>
          </cell>
          <cell r="B2">
            <v>40574</v>
          </cell>
          <cell r="C2">
            <v>12</v>
          </cell>
          <cell r="D2" t="str">
            <v>CD</v>
          </cell>
          <cell r="E2" t="str">
            <v>RAD. # 1563 SOLICITUD DE CD VIGENCIA FUTURA PARA LA PRESTACION DEL SERVICIO DE PODA TECNICA DE LOS ARBOLES QUE OBSTACULIZAN LAS REDES ELECTRICAS DE DISTRIBUCION DE ALTA MEDIA Y BAJA TENSION, EN EL CASCO URBANO DE LA SUCURSAL DE PAMPLONA, YA QUE EL CONTRAT</v>
          </cell>
          <cell r="G2" t="str">
            <v>N</v>
          </cell>
          <cell r="H2" t="str">
            <v>P</v>
          </cell>
          <cell r="I2">
            <v>1</v>
          </cell>
          <cell r="J2">
            <v>13235656</v>
          </cell>
          <cell r="K2" t="str">
            <v>TOBON SOSA MARIA CECILIA</v>
          </cell>
          <cell r="L2">
            <v>0</v>
          </cell>
          <cell r="M2">
            <v>0</v>
          </cell>
          <cell r="N2">
            <v>37256453</v>
          </cell>
          <cell r="O2">
            <v>40574</v>
          </cell>
          <cell r="P2" t="str">
            <v>RANGEL BECERRA LUIS ALBERTO</v>
          </cell>
          <cell r="Q2">
            <v>0</v>
          </cell>
          <cell r="R2" t="str">
            <v>CENS SUCURSAL PAMPLONA</v>
          </cell>
          <cell r="S2">
            <v>0</v>
          </cell>
          <cell r="T2">
            <v>52621348</v>
          </cell>
          <cell r="V2">
            <v>0</v>
          </cell>
          <cell r="W2">
            <v>0</v>
          </cell>
          <cell r="X2">
            <v>0</v>
          </cell>
          <cell r="Y2">
            <v>0</v>
          </cell>
          <cell r="Z2">
            <v>0</v>
          </cell>
          <cell r="AC2">
            <v>0</v>
          </cell>
          <cell r="AD2">
            <v>2011</v>
          </cell>
          <cell r="AE2">
            <v>0</v>
          </cell>
          <cell r="AF2" t="str">
            <v>CERTIFICADO DISPONIBILIDAD PRESUPUESTAL</v>
          </cell>
          <cell r="AG2" t="str">
            <v>CV</v>
          </cell>
          <cell r="AH2" t="str">
            <v>CERTIFICADO DE VIGENCIAS FUTURAS</v>
          </cell>
          <cell r="AJ2">
            <v>0</v>
          </cell>
          <cell r="AL2" t="str">
            <v>S</v>
          </cell>
          <cell r="AM2" t="str">
            <v>C</v>
          </cell>
          <cell r="AN2" t="str">
            <v>N</v>
          </cell>
          <cell r="AQ2">
            <v>0</v>
          </cell>
          <cell r="AR2">
            <v>365</v>
          </cell>
          <cell r="AS2" t="str">
            <v>GESTION AMBIENTAL</v>
          </cell>
        </row>
        <row r="3">
          <cell r="A3">
            <v>5313</v>
          </cell>
          <cell r="B3">
            <v>40625</v>
          </cell>
          <cell r="C3">
            <v>12</v>
          </cell>
          <cell r="D3" t="str">
            <v>CD</v>
          </cell>
          <cell r="E3" t="str">
            <v>RAD. # 4738 SOLICITUD DE CD VIGENCIA FUTURAPARA REGISTRAR EL CONTRATO INTEGRAL DE SERVICIO DE TOMA DE LECTURA, ENTREGA DE FACTURAS Y CORTE Y RECONEXION, YA QUE POR PRESTARSE LOS SERVICIOS EN CADA SUCURSAL, ESTE DEBE REGISTRARSE CON CARGO A CADA UNA DE ELL</v>
          </cell>
          <cell r="G3" t="str">
            <v>N</v>
          </cell>
          <cell r="H3" t="str">
            <v>P</v>
          </cell>
          <cell r="I3">
            <v>1</v>
          </cell>
          <cell r="J3">
            <v>13235656</v>
          </cell>
          <cell r="K3" t="str">
            <v>CLAVIJO CACERES IVAN ANTONIO</v>
          </cell>
          <cell r="L3">
            <v>0</v>
          </cell>
          <cell r="M3">
            <v>0</v>
          </cell>
          <cell r="N3">
            <v>13473924</v>
          </cell>
          <cell r="O3">
            <v>40625.741793981484</v>
          </cell>
          <cell r="P3" t="str">
            <v>RANGEL BECERRA LUIS ALBERTO</v>
          </cell>
          <cell r="Q3">
            <v>0</v>
          </cell>
          <cell r="R3" t="str">
            <v>CENS SUCURSAL PAMPLONA</v>
          </cell>
          <cell r="S3">
            <v>0</v>
          </cell>
          <cell r="T3">
            <v>487033722</v>
          </cell>
          <cell r="V3">
            <v>0</v>
          </cell>
          <cell r="W3">
            <v>0</v>
          </cell>
          <cell r="X3">
            <v>0</v>
          </cell>
          <cell r="Y3">
            <v>0</v>
          </cell>
          <cell r="Z3">
            <v>0</v>
          </cell>
          <cell r="AC3">
            <v>0</v>
          </cell>
          <cell r="AD3">
            <v>2011</v>
          </cell>
          <cell r="AE3">
            <v>0</v>
          </cell>
          <cell r="AF3" t="str">
            <v>CERTIFICADO DISPONIBILIDAD PRESUPUESTAL</v>
          </cell>
          <cell r="AG3" t="str">
            <v>CV</v>
          </cell>
          <cell r="AH3" t="str">
            <v>CERTIFICADO DE VIGENCIAS FUTURAS</v>
          </cell>
          <cell r="AJ3">
            <v>0</v>
          </cell>
          <cell r="AL3" t="str">
            <v>S</v>
          </cell>
          <cell r="AM3" t="str">
            <v>C</v>
          </cell>
          <cell r="AN3" t="str">
            <v>N</v>
          </cell>
          <cell r="AQ3">
            <v>0</v>
          </cell>
          <cell r="AR3">
            <v>460</v>
          </cell>
          <cell r="AS3" t="str">
            <v>PROCESO FACTURACIÓN Y COBRANZAS</v>
          </cell>
        </row>
        <row r="4">
          <cell r="A4">
            <v>5317</v>
          </cell>
          <cell r="B4">
            <v>40574</v>
          </cell>
          <cell r="C4">
            <v>14</v>
          </cell>
          <cell r="D4" t="str">
            <v>CD</v>
          </cell>
          <cell r="E4" t="str">
            <v>RAD. # 1572 SOLICITUD DE CD VIGENCIA FUTURA PARA LA PRESTACION DEL SERVICIO DE PODA TECNICA DE LOS ARBOLES QUE OBSTACULIZAN LAS REDES ELECTRICAS DE DISTRIBUCION DE ALTA MEDIA Y BAJA TENSION, EN EL CASCO URBANO DE LA SUCURSAL DE TIBU, YA QUE EL CONTRATO SE</v>
          </cell>
          <cell r="G4" t="str">
            <v>N</v>
          </cell>
          <cell r="H4" t="str">
            <v>P</v>
          </cell>
          <cell r="I4">
            <v>1</v>
          </cell>
          <cell r="J4">
            <v>13235656</v>
          </cell>
          <cell r="K4" t="str">
            <v>TOBON SOSA MARIA CECILIA</v>
          </cell>
          <cell r="L4">
            <v>0</v>
          </cell>
          <cell r="M4">
            <v>0</v>
          </cell>
          <cell r="N4">
            <v>37256453</v>
          </cell>
          <cell r="O4">
            <v>40574</v>
          </cell>
          <cell r="P4" t="str">
            <v>RANGEL BECERRA LUIS ALBERTO</v>
          </cell>
          <cell r="Q4">
            <v>0</v>
          </cell>
          <cell r="R4" t="str">
            <v>CENS SUCURSAL TIBÚ</v>
          </cell>
          <cell r="S4">
            <v>0</v>
          </cell>
          <cell r="T4">
            <v>53532608</v>
          </cell>
          <cell r="V4">
            <v>0</v>
          </cell>
          <cell r="W4">
            <v>0</v>
          </cell>
          <cell r="X4">
            <v>0</v>
          </cell>
          <cell r="Y4">
            <v>0</v>
          </cell>
          <cell r="Z4">
            <v>0</v>
          </cell>
          <cell r="AC4">
            <v>0</v>
          </cell>
          <cell r="AD4">
            <v>2011</v>
          </cell>
          <cell r="AE4">
            <v>0</v>
          </cell>
          <cell r="AF4" t="str">
            <v>CERTIFICADO DISPONIBILIDAD PRESUPUESTAL</v>
          </cell>
          <cell r="AG4" t="str">
            <v>CV</v>
          </cell>
          <cell r="AH4" t="str">
            <v>CERTIFICADO DE VIGENCIAS FUTURAS</v>
          </cell>
          <cell r="AJ4">
            <v>0</v>
          </cell>
          <cell r="AL4" t="str">
            <v>S</v>
          </cell>
          <cell r="AM4" t="str">
            <v>C</v>
          </cell>
          <cell r="AN4" t="str">
            <v>N</v>
          </cell>
          <cell r="AQ4">
            <v>0</v>
          </cell>
          <cell r="AR4">
            <v>365</v>
          </cell>
          <cell r="AS4" t="str">
            <v>GESTION AMBIENTAL</v>
          </cell>
        </row>
        <row r="5">
          <cell r="A5">
            <v>5326</v>
          </cell>
          <cell r="B5">
            <v>40602</v>
          </cell>
          <cell r="C5">
            <v>14</v>
          </cell>
          <cell r="D5" t="str">
            <v>CD</v>
          </cell>
          <cell r="E5" t="str">
            <v>RAD. # 2814 VIGENCIA FUTURA SE REQUIERE PARA LA EJECUCION DE ACTIVIDADES DE MANTENIMIENTO EN SISTEMAS DE ALUMBRADO PUBLICO, REDES ENERGIZADAS DE BAJA TENSION Y/O  REDES DESENERGIZADAS DE MEDIA Y BAJA TENSION EN LOS MUNICIPIOS ATENDIDOS POR LA SUCURSAL TIB</v>
          </cell>
          <cell r="G5" t="str">
            <v>N</v>
          </cell>
          <cell r="H5" t="str">
            <v>P</v>
          </cell>
          <cell r="I5">
            <v>1</v>
          </cell>
          <cell r="J5">
            <v>13235656</v>
          </cell>
          <cell r="K5" t="str">
            <v>CHAUSTRE LARA JOSE RAFAEL</v>
          </cell>
          <cell r="L5">
            <v>0</v>
          </cell>
          <cell r="M5">
            <v>0</v>
          </cell>
          <cell r="N5">
            <v>13452676</v>
          </cell>
          <cell r="O5">
            <v>40602.711770833332</v>
          </cell>
          <cell r="P5" t="str">
            <v>RANGEL BECERRA LUIS ALBERTO</v>
          </cell>
          <cell r="Q5">
            <v>0</v>
          </cell>
          <cell r="R5" t="str">
            <v>CENS SUCURSAL TIBÚ</v>
          </cell>
          <cell r="S5">
            <v>0</v>
          </cell>
          <cell r="T5">
            <v>190145839</v>
          </cell>
          <cell r="V5">
            <v>0</v>
          </cell>
          <cell r="W5">
            <v>0</v>
          </cell>
          <cell r="X5">
            <v>0</v>
          </cell>
          <cell r="Y5">
            <v>0</v>
          </cell>
          <cell r="Z5">
            <v>0</v>
          </cell>
          <cell r="AC5">
            <v>0</v>
          </cell>
          <cell r="AD5">
            <v>2011</v>
          </cell>
          <cell r="AE5">
            <v>0</v>
          </cell>
          <cell r="AF5" t="str">
            <v>CERTIFICADO DISPONIBILIDAD PRESUPUESTAL</v>
          </cell>
          <cell r="AG5" t="str">
            <v>CV</v>
          </cell>
          <cell r="AH5" t="str">
            <v>CERTIFICADO DE VIGENCIAS FUTURAS</v>
          </cell>
          <cell r="AJ5">
            <v>0</v>
          </cell>
          <cell r="AL5" t="str">
            <v>S</v>
          </cell>
          <cell r="AM5" t="str">
            <v>C</v>
          </cell>
          <cell r="AN5" t="str">
            <v>N</v>
          </cell>
          <cell r="AQ5">
            <v>0</v>
          </cell>
          <cell r="AR5">
            <v>334</v>
          </cell>
          <cell r="AS5" t="str">
            <v>PROCESO TRANSPORTE DE ENERGÍA</v>
          </cell>
        </row>
        <row r="6">
          <cell r="A6">
            <v>5337</v>
          </cell>
          <cell r="B6">
            <v>40625</v>
          </cell>
          <cell r="C6">
            <v>14</v>
          </cell>
          <cell r="D6" t="str">
            <v>CD</v>
          </cell>
          <cell r="E6" t="str">
            <v>RAD. #4748 SOLICITUD DE CD VIGENCIA FUTURAPARA REGISTRAR EL CONTRATO INTEGRAL DE SERVICIO DE TOMA DE LECTURA, ENTREGA DE FACTURAS Y CORTE Y RECONEXION, YA QUE POR PRESTARSE LOS SERVICIOS EN CADA SUCURSAL, ESTE DEBE REGISTRARSE CON CARGO A CADA UNA DE ELLA</v>
          </cell>
          <cell r="G6" t="str">
            <v>N</v>
          </cell>
          <cell r="H6" t="str">
            <v>P</v>
          </cell>
          <cell r="I6">
            <v>1</v>
          </cell>
          <cell r="J6">
            <v>13235656</v>
          </cell>
          <cell r="K6" t="str">
            <v>CLAVIJO CACERES IVAN ANTONIO</v>
          </cell>
          <cell r="L6">
            <v>0</v>
          </cell>
          <cell r="M6">
            <v>0</v>
          </cell>
          <cell r="N6">
            <v>13473924</v>
          </cell>
          <cell r="O6">
            <v>40625.743136574078</v>
          </cell>
          <cell r="P6" t="str">
            <v>RANGEL BECERRA LUIS ALBERTO</v>
          </cell>
          <cell r="Q6">
            <v>0</v>
          </cell>
          <cell r="R6" t="str">
            <v>CENS SUCURSAL TIBÚ</v>
          </cell>
          <cell r="S6">
            <v>0</v>
          </cell>
          <cell r="T6">
            <v>398482137</v>
          </cell>
          <cell r="V6">
            <v>0</v>
          </cell>
          <cell r="W6">
            <v>0</v>
          </cell>
          <cell r="X6">
            <v>0</v>
          </cell>
          <cell r="Y6">
            <v>0</v>
          </cell>
          <cell r="Z6">
            <v>0</v>
          </cell>
          <cell r="AC6">
            <v>0</v>
          </cell>
          <cell r="AD6">
            <v>2011</v>
          </cell>
          <cell r="AE6">
            <v>0</v>
          </cell>
          <cell r="AF6" t="str">
            <v>CERTIFICADO DISPONIBILIDAD PRESUPUESTAL</v>
          </cell>
          <cell r="AG6" t="str">
            <v>CV</v>
          </cell>
          <cell r="AH6" t="str">
            <v>CERTIFICADO DE VIGENCIAS FUTURAS</v>
          </cell>
          <cell r="AJ6">
            <v>0</v>
          </cell>
          <cell r="AL6" t="str">
            <v>S</v>
          </cell>
          <cell r="AM6" t="str">
            <v>C</v>
          </cell>
          <cell r="AN6" t="str">
            <v>N</v>
          </cell>
          <cell r="AQ6">
            <v>0</v>
          </cell>
          <cell r="AR6">
            <v>460</v>
          </cell>
          <cell r="AS6" t="str">
            <v>PROCESO FACTURACIÓN Y COBRANZAS</v>
          </cell>
        </row>
        <row r="7">
          <cell r="A7">
            <v>5354</v>
          </cell>
          <cell r="B7">
            <v>40574</v>
          </cell>
          <cell r="C7">
            <v>15</v>
          </cell>
          <cell r="D7" t="str">
            <v>CD</v>
          </cell>
          <cell r="E7" t="str">
            <v>RAD. # 1574 SOLICITUD DE CD VIGENCIA FUTURA PARA LA PRESTACION DEL SERVICIO DE PODA TECNICA DE LOS ARBOLES QUE OBSTACULIZAN LAS REDES ELECTRICAS DE DISTRIBUCION DE ALTA MEDIA Y BAJA TENSION, EN EL CASCO URBANO DE LA SUCURSAL DE AGUACHICA, YA QUE EL CONTRA</v>
          </cell>
          <cell r="G7" t="str">
            <v>N</v>
          </cell>
          <cell r="H7" t="str">
            <v>P</v>
          </cell>
          <cell r="I7">
            <v>1</v>
          </cell>
          <cell r="J7">
            <v>13235656</v>
          </cell>
          <cell r="K7" t="str">
            <v>TOBON SOSA MARIA CECILIA</v>
          </cell>
          <cell r="L7">
            <v>0</v>
          </cell>
          <cell r="M7">
            <v>0</v>
          </cell>
          <cell r="N7">
            <v>37256453</v>
          </cell>
          <cell r="O7">
            <v>40574</v>
          </cell>
          <cell r="P7" t="str">
            <v>RANGEL BECERRA LUIS ALBERTO</v>
          </cell>
          <cell r="Q7">
            <v>0</v>
          </cell>
          <cell r="R7" t="str">
            <v>CENS SUCURSAL AGUACHICA</v>
          </cell>
          <cell r="S7">
            <v>0</v>
          </cell>
          <cell r="T7">
            <v>183706864</v>
          </cell>
          <cell r="V7">
            <v>0</v>
          </cell>
          <cell r="W7">
            <v>0</v>
          </cell>
          <cell r="X7">
            <v>0</v>
          </cell>
          <cell r="Y7">
            <v>0</v>
          </cell>
          <cell r="Z7">
            <v>0</v>
          </cell>
          <cell r="AC7">
            <v>0</v>
          </cell>
          <cell r="AD7">
            <v>2011</v>
          </cell>
          <cell r="AE7">
            <v>0</v>
          </cell>
          <cell r="AF7" t="str">
            <v>CERTIFICADO DISPONIBILIDAD PRESUPUESTAL</v>
          </cell>
          <cell r="AG7" t="str">
            <v>CV</v>
          </cell>
          <cell r="AH7" t="str">
            <v>CERTIFICADO DE VIGENCIAS FUTURAS</v>
          </cell>
          <cell r="AJ7">
            <v>0</v>
          </cell>
          <cell r="AL7" t="str">
            <v>S</v>
          </cell>
          <cell r="AM7" t="str">
            <v>C</v>
          </cell>
          <cell r="AN7" t="str">
            <v>N</v>
          </cell>
          <cell r="AQ7">
            <v>0</v>
          </cell>
          <cell r="AR7">
            <v>365</v>
          </cell>
          <cell r="AS7" t="str">
            <v>GESTION AMBIENTAL</v>
          </cell>
        </row>
        <row r="8">
          <cell r="A8">
            <v>5367</v>
          </cell>
          <cell r="B8">
            <v>40602</v>
          </cell>
          <cell r="C8">
            <v>15</v>
          </cell>
          <cell r="D8" t="str">
            <v>CD</v>
          </cell>
          <cell r="E8" t="str">
            <v>RADICADO MERCURIO # 2811 VIGENCIA FUTURA SE REQUIERE PARA LA EJECUCION DE ACTIVIDADES DE MANTENIMIENTO EN SISTEMAS DE ALUMBRADO PUBLICO, REDES ENERGIZADAS DE BAJA TENSION Y/O  REDES DESENERGIZADAS DE MEDIA Y BAJA TENSION EN LOS MUNICIPIOS ATENDIDOS POR LA</v>
          </cell>
          <cell r="G8" t="str">
            <v>N</v>
          </cell>
          <cell r="H8" t="str">
            <v>P</v>
          </cell>
          <cell r="I8">
            <v>1</v>
          </cell>
          <cell r="J8">
            <v>13235656</v>
          </cell>
          <cell r="K8" t="str">
            <v>CHAUSTRE LARA JOSE RAFAEL</v>
          </cell>
          <cell r="L8">
            <v>0</v>
          </cell>
          <cell r="M8">
            <v>0</v>
          </cell>
          <cell r="N8">
            <v>13452676</v>
          </cell>
          <cell r="O8">
            <v>40602.696631944447</v>
          </cell>
          <cell r="P8" t="str">
            <v>RANGEL BECERRA LUIS ALBERTO</v>
          </cell>
          <cell r="Q8">
            <v>0</v>
          </cell>
          <cell r="R8" t="str">
            <v>CENS SUCURSAL AGUACHICA</v>
          </cell>
          <cell r="S8">
            <v>0</v>
          </cell>
          <cell r="T8">
            <v>208284826</v>
          </cell>
          <cell r="V8">
            <v>0</v>
          </cell>
          <cell r="W8">
            <v>0</v>
          </cell>
          <cell r="X8">
            <v>0</v>
          </cell>
          <cell r="Y8">
            <v>0</v>
          </cell>
          <cell r="Z8">
            <v>0</v>
          </cell>
          <cell r="AC8">
            <v>0</v>
          </cell>
          <cell r="AD8">
            <v>2011</v>
          </cell>
          <cell r="AE8">
            <v>0</v>
          </cell>
          <cell r="AF8" t="str">
            <v>CERTIFICADO DISPONIBILIDAD PRESUPUESTAL</v>
          </cell>
          <cell r="AG8" t="str">
            <v>CV</v>
          </cell>
          <cell r="AH8" t="str">
            <v>CERTIFICADO DE VIGENCIAS FUTURAS</v>
          </cell>
          <cell r="AJ8">
            <v>0</v>
          </cell>
          <cell r="AL8" t="str">
            <v>S</v>
          </cell>
          <cell r="AM8" t="str">
            <v>C</v>
          </cell>
          <cell r="AN8" t="str">
            <v>N</v>
          </cell>
          <cell r="AQ8">
            <v>0</v>
          </cell>
          <cell r="AR8">
            <v>334</v>
          </cell>
          <cell r="AS8" t="str">
            <v>PROCESO TRANSPORTE DE ENERGÍA</v>
          </cell>
        </row>
        <row r="9">
          <cell r="A9">
            <v>5373</v>
          </cell>
          <cell r="B9">
            <v>40625</v>
          </cell>
          <cell r="C9">
            <v>15</v>
          </cell>
          <cell r="D9" t="str">
            <v>CD</v>
          </cell>
          <cell r="E9" t="str">
            <v>RAD. #4749 SOLICITUD DE CD VIGENCIA FUTURAPARA REGISTRAR EL CONTRATO INTEGRAL DE SERVICIO DE TOMA DE LECTURA, ENTREGA DE FACTURAS Y CORTE Y RECONEXION, YA QUE POR PRESTARSE LOS SERVICIOS EN CADA SUCURSAL, ESTE DEBE REGISTRARSE CON CARGO A CADA UNA DE ELLA</v>
          </cell>
          <cell r="G9" t="str">
            <v>N</v>
          </cell>
          <cell r="H9" t="str">
            <v>P</v>
          </cell>
          <cell r="I9">
            <v>1</v>
          </cell>
          <cell r="J9">
            <v>13235656</v>
          </cell>
          <cell r="K9" t="str">
            <v>CLAVIJO CACERES IVAN ANTONIO</v>
          </cell>
          <cell r="L9">
            <v>0</v>
          </cell>
          <cell r="M9">
            <v>0</v>
          </cell>
          <cell r="N9">
            <v>13473924</v>
          </cell>
          <cell r="O9">
            <v>40625.743703703702</v>
          </cell>
          <cell r="P9" t="str">
            <v>RANGEL BECERRA LUIS ALBERTO</v>
          </cell>
          <cell r="Q9">
            <v>0</v>
          </cell>
          <cell r="R9" t="str">
            <v>CENS SUCURSAL AGUACHICA</v>
          </cell>
          <cell r="S9">
            <v>0</v>
          </cell>
          <cell r="T9">
            <v>664136895</v>
          </cell>
          <cell r="V9">
            <v>0</v>
          </cell>
          <cell r="W9">
            <v>0</v>
          </cell>
          <cell r="X9">
            <v>0</v>
          </cell>
          <cell r="Y9">
            <v>0</v>
          </cell>
          <cell r="Z9">
            <v>0</v>
          </cell>
          <cell r="AC9">
            <v>0</v>
          </cell>
          <cell r="AD9">
            <v>2011</v>
          </cell>
          <cell r="AE9">
            <v>0</v>
          </cell>
          <cell r="AF9" t="str">
            <v>CERTIFICADO DISPONIBILIDAD PRESUPUESTAL</v>
          </cell>
          <cell r="AG9" t="str">
            <v>CV</v>
          </cell>
          <cell r="AH9" t="str">
            <v>CERTIFICADO DE VIGENCIAS FUTURAS</v>
          </cell>
          <cell r="AJ9">
            <v>0</v>
          </cell>
          <cell r="AL9" t="str">
            <v>S</v>
          </cell>
          <cell r="AM9" t="str">
            <v>C</v>
          </cell>
          <cell r="AN9" t="str">
            <v>N</v>
          </cell>
          <cell r="AQ9">
            <v>0</v>
          </cell>
          <cell r="AR9">
            <v>460</v>
          </cell>
          <cell r="AS9" t="str">
            <v>PROCESO FACTURACIÓN Y COBRANZAS</v>
          </cell>
        </row>
        <row r="10">
          <cell r="A10">
            <v>5385</v>
          </cell>
          <cell r="B10">
            <v>40574</v>
          </cell>
          <cell r="C10">
            <v>13</v>
          </cell>
          <cell r="D10" t="str">
            <v>CD</v>
          </cell>
          <cell r="E10" t="str">
            <v>RAD. # 1567 SOLICITUD DE CD VIGENCIA FUTURA PARA LA PRESTACION DEL SERVICIO DE PODA TECNICA DE LOS ARBOLES QUE OBSTACULIZAN LAS REDES ELECTRICAS DE DISTRIBUCION DE ALTA MEDIA Y BAJA TENSION, EN EL CASCO URBANO DE LA SUCURSAL DE OCAÑA, YA QUE EL CONTRATO S</v>
          </cell>
          <cell r="G10" t="str">
            <v>N</v>
          </cell>
          <cell r="H10" t="str">
            <v>P</v>
          </cell>
          <cell r="I10">
            <v>1</v>
          </cell>
          <cell r="J10">
            <v>13235656</v>
          </cell>
          <cell r="K10" t="str">
            <v>TOBON SOSA MARIA CECILIA</v>
          </cell>
          <cell r="L10">
            <v>0</v>
          </cell>
          <cell r="M10">
            <v>0</v>
          </cell>
          <cell r="N10">
            <v>37256453</v>
          </cell>
          <cell r="O10">
            <v>40574</v>
          </cell>
          <cell r="P10" t="str">
            <v>RANGEL BECERRA LUIS ALBERTO</v>
          </cell>
          <cell r="Q10">
            <v>0</v>
          </cell>
          <cell r="R10" t="str">
            <v>CENS SUCURSAL OCAÑA</v>
          </cell>
          <cell r="S10">
            <v>0</v>
          </cell>
          <cell r="T10">
            <v>30648311</v>
          </cell>
          <cell r="V10">
            <v>0</v>
          </cell>
          <cell r="W10">
            <v>0</v>
          </cell>
          <cell r="X10">
            <v>0</v>
          </cell>
          <cell r="Y10">
            <v>0</v>
          </cell>
          <cell r="Z10">
            <v>0</v>
          </cell>
          <cell r="AC10">
            <v>0</v>
          </cell>
          <cell r="AD10">
            <v>2011</v>
          </cell>
          <cell r="AE10">
            <v>0</v>
          </cell>
          <cell r="AF10" t="str">
            <v>CERTIFICADO DISPONIBILIDAD PRESUPUESTAL</v>
          </cell>
          <cell r="AG10" t="str">
            <v>CV</v>
          </cell>
          <cell r="AH10" t="str">
            <v>CERTIFICADO DE VIGENCIAS FUTURAS</v>
          </cell>
          <cell r="AJ10">
            <v>0</v>
          </cell>
          <cell r="AL10" t="str">
            <v>S</v>
          </cell>
          <cell r="AM10" t="str">
            <v>C</v>
          </cell>
          <cell r="AN10" t="str">
            <v>N</v>
          </cell>
          <cell r="AQ10">
            <v>0</v>
          </cell>
          <cell r="AR10">
            <v>365</v>
          </cell>
          <cell r="AS10" t="str">
            <v>GESTION AMBIENTAL</v>
          </cell>
        </row>
        <row r="11">
          <cell r="A11">
            <v>5410</v>
          </cell>
          <cell r="B11">
            <v>40625</v>
          </cell>
          <cell r="C11">
            <v>13</v>
          </cell>
          <cell r="D11" t="str">
            <v>CD</v>
          </cell>
          <cell r="E11" t="str">
            <v>RAD. #4745 SOLICITUD DE CD VIGENCIA FUTURAPARA REGISTRAR EL CONTRATO INTEGRAL DE SERVICIO DE TOMA DE LECTURA, ENTREGA DE FACTURAS Y CORTE Y RECONEXION, YA QUE POR PRESTARSE LOS SERVICIOS EN CADA SUCURSAL, ESTE DEBE REGISTRARSE CON CARGO A CADA UNA DE ELLA</v>
          </cell>
          <cell r="G11" t="str">
            <v>N</v>
          </cell>
          <cell r="H11" t="str">
            <v>P</v>
          </cell>
          <cell r="I11">
            <v>1</v>
          </cell>
          <cell r="J11">
            <v>13235656</v>
          </cell>
          <cell r="K11" t="str">
            <v>CLAVIJO CACERES IVAN ANTONIO</v>
          </cell>
          <cell r="L11">
            <v>0</v>
          </cell>
          <cell r="M11">
            <v>0</v>
          </cell>
          <cell r="N11">
            <v>13473924</v>
          </cell>
          <cell r="O11">
            <v>40625.742615740739</v>
          </cell>
          <cell r="P11" t="str">
            <v>RANGEL BECERRA LUIS ALBERTO</v>
          </cell>
          <cell r="Q11">
            <v>0</v>
          </cell>
          <cell r="R11" t="str">
            <v>CENS SUCURSAL OCAÑA</v>
          </cell>
          <cell r="S11">
            <v>0</v>
          </cell>
          <cell r="T11">
            <v>1062619031</v>
          </cell>
          <cell r="V11">
            <v>0</v>
          </cell>
          <cell r="W11">
            <v>0</v>
          </cell>
          <cell r="X11">
            <v>0</v>
          </cell>
          <cell r="Y11">
            <v>0</v>
          </cell>
          <cell r="Z11">
            <v>0</v>
          </cell>
          <cell r="AC11">
            <v>0</v>
          </cell>
          <cell r="AD11">
            <v>2011</v>
          </cell>
          <cell r="AE11">
            <v>0</v>
          </cell>
          <cell r="AF11" t="str">
            <v>CERTIFICADO DISPONIBILIDAD PRESUPUESTAL</v>
          </cell>
          <cell r="AG11" t="str">
            <v>CV</v>
          </cell>
          <cell r="AH11" t="str">
            <v>CERTIFICADO DE VIGENCIAS FUTURAS</v>
          </cell>
          <cell r="AJ11">
            <v>0</v>
          </cell>
          <cell r="AL11" t="str">
            <v>S</v>
          </cell>
          <cell r="AM11" t="str">
            <v>C</v>
          </cell>
          <cell r="AN11" t="str">
            <v>N</v>
          </cell>
          <cell r="AQ11">
            <v>0</v>
          </cell>
          <cell r="AR11">
            <v>460</v>
          </cell>
          <cell r="AS11" t="str">
            <v>PROCESO FACTURACIÓN Y COBRANZAS</v>
          </cell>
        </row>
        <row r="12">
          <cell r="A12">
            <v>6770</v>
          </cell>
          <cell r="B12">
            <v>40547</v>
          </cell>
          <cell r="C12">
            <v>11</v>
          </cell>
          <cell r="D12" t="str">
            <v>CD</v>
          </cell>
          <cell r="E12" t="str">
            <v>RAD. # 177 SOLICITUD DE CD VIGENCIA FUTURA PARA LA EJECUCION DE ACTIVIDADES OPERATIVAS DEL PROCESO DE FACTURACION DE CENS S.A. ESP, SEGUN LA APROBACION DE JUNTA DIRECTIVA DE CENS EN SESIÓN NO. 714</v>
          </cell>
          <cell r="G12" t="str">
            <v>N</v>
          </cell>
          <cell r="H12" t="str">
            <v>P</v>
          </cell>
          <cell r="I12">
            <v>1</v>
          </cell>
          <cell r="J12">
            <v>13235656</v>
          </cell>
          <cell r="K12" t="str">
            <v>CLAVIJO CACERES IVAN ANTONIO</v>
          </cell>
          <cell r="L12">
            <v>0</v>
          </cell>
          <cell r="M12">
            <v>0</v>
          </cell>
          <cell r="N12">
            <v>13473924</v>
          </cell>
          <cell r="O12">
            <v>40547</v>
          </cell>
          <cell r="P12" t="str">
            <v>RANGEL BECERRA LUIS ALBERTO</v>
          </cell>
          <cell r="Q12">
            <v>0</v>
          </cell>
          <cell r="R12" t="str">
            <v>CENS PRINCIPAL CÚCUTA</v>
          </cell>
          <cell r="S12">
            <v>0</v>
          </cell>
          <cell r="T12">
            <v>4427579293</v>
          </cell>
          <cell r="V12">
            <v>0</v>
          </cell>
          <cell r="W12">
            <v>0</v>
          </cell>
          <cell r="X12">
            <v>0</v>
          </cell>
          <cell r="Y12">
            <v>0</v>
          </cell>
          <cell r="Z12">
            <v>0</v>
          </cell>
          <cell r="AC12">
            <v>0</v>
          </cell>
          <cell r="AD12">
            <v>2011</v>
          </cell>
          <cell r="AE12">
            <v>0</v>
          </cell>
          <cell r="AF12" t="str">
            <v>CERTIFICADO DISPONIBILIDAD PRESUPUESTAL</v>
          </cell>
          <cell r="AG12" t="str">
            <v>CV</v>
          </cell>
          <cell r="AH12" t="str">
            <v>CERTIFICADO DE VIGENCIAS FUTURAS</v>
          </cell>
          <cell r="AJ12">
            <v>0</v>
          </cell>
          <cell r="AL12" t="str">
            <v>S</v>
          </cell>
          <cell r="AM12" t="str">
            <v>C</v>
          </cell>
          <cell r="AN12" t="str">
            <v>N</v>
          </cell>
          <cell r="AQ12">
            <v>0</v>
          </cell>
          <cell r="AR12">
            <v>460</v>
          </cell>
          <cell r="AS12" t="str">
            <v>PROCESO FACTURACIÓN Y COBRANZAS</v>
          </cell>
        </row>
        <row r="13">
          <cell r="A13">
            <v>6771</v>
          </cell>
          <cell r="B13">
            <v>40547</v>
          </cell>
          <cell r="C13">
            <v>11</v>
          </cell>
          <cell r="D13" t="str">
            <v>CD</v>
          </cell>
          <cell r="E13" t="str">
            <v>RAD. # 177 SOLICITUD DE CD VIGENCIA FUTURA PARA LA EJECUCION DE ACTIVIDADES OPERATIVAS DEL PROCESO DE FACTURACION DE CENS S.A. ESP, SEGUN LA APROBACION DE JUNTA DIRECTIVA DE CENS EN SESIÓN NO. 714</v>
          </cell>
          <cell r="G13" t="str">
            <v>N</v>
          </cell>
          <cell r="H13" t="str">
            <v>P</v>
          </cell>
          <cell r="I13">
            <v>1</v>
          </cell>
          <cell r="J13">
            <v>110</v>
          </cell>
          <cell r="K13" t="str">
            <v>CLAVIJO CACERES IVAN ANTONIO</v>
          </cell>
          <cell r="L13">
            <v>0</v>
          </cell>
          <cell r="M13">
            <v>0</v>
          </cell>
          <cell r="N13">
            <v>13473924</v>
          </cell>
          <cell r="O13">
            <v>40547</v>
          </cell>
          <cell r="P13" t="str">
            <v>JUNTA   DIRECTIVA CENS</v>
          </cell>
          <cell r="Q13">
            <v>0</v>
          </cell>
          <cell r="R13" t="str">
            <v>CENS PRINCIPAL CÚCUTA</v>
          </cell>
          <cell r="S13">
            <v>0</v>
          </cell>
          <cell r="T13">
            <v>1106894823</v>
          </cell>
          <cell r="V13">
            <v>0</v>
          </cell>
          <cell r="W13">
            <v>0</v>
          </cell>
          <cell r="X13">
            <v>0</v>
          </cell>
          <cell r="Y13">
            <v>0</v>
          </cell>
          <cell r="Z13">
            <v>0</v>
          </cell>
          <cell r="AC13">
            <v>0</v>
          </cell>
          <cell r="AD13">
            <v>2011</v>
          </cell>
          <cell r="AE13">
            <v>0</v>
          </cell>
          <cell r="AF13" t="str">
            <v>CERTIFICADO DISPONIBILIDAD PRESUPUESTAL</v>
          </cell>
          <cell r="AG13" t="str">
            <v>CV</v>
          </cell>
          <cell r="AH13" t="str">
            <v>CERTIFICADO DE VIGENCIAS FUTURAS</v>
          </cell>
          <cell r="AJ13">
            <v>0</v>
          </cell>
          <cell r="AL13" t="str">
            <v>S</v>
          </cell>
          <cell r="AM13" t="str">
            <v>C</v>
          </cell>
          <cell r="AN13" t="str">
            <v>N</v>
          </cell>
          <cell r="AQ13">
            <v>0</v>
          </cell>
          <cell r="AR13">
            <v>460</v>
          </cell>
          <cell r="AS13" t="str">
            <v>PROCESO FACTURACIÓN Y COBRANZAS</v>
          </cell>
        </row>
        <row r="14">
          <cell r="A14">
            <v>6912</v>
          </cell>
          <cell r="B14">
            <v>40582</v>
          </cell>
          <cell r="C14">
            <v>11</v>
          </cell>
          <cell r="D14" t="str">
            <v>CD</v>
          </cell>
          <cell r="E14" t="str">
            <v>RAD. # 1845 SOLICITUD DE CD VIGENCIA FUTURA PARA INICAR PROCESO DE CONTRATACION PARA EL AÑO 2012 PARA LA PRESTACIÓN DE LOS SERVICIOS DE IMPRESIÓN VARIABLE Y COMPLEMENTARIA BAJO LA MODALIDAD DE OUTSOURCING PARA ATENDER LAS NECESIDADES DE CENTRALES ELECTRIC</v>
          </cell>
          <cell r="G14" t="str">
            <v>N</v>
          </cell>
          <cell r="H14" t="str">
            <v>P</v>
          </cell>
          <cell r="I14">
            <v>1</v>
          </cell>
          <cell r="J14">
            <v>13235656</v>
          </cell>
          <cell r="K14" t="str">
            <v>CLAVIJO CACERES IVAN ANTONIO</v>
          </cell>
          <cell r="L14">
            <v>0</v>
          </cell>
          <cell r="M14">
            <v>0</v>
          </cell>
          <cell r="N14">
            <v>13473924</v>
          </cell>
          <cell r="O14">
            <v>40582.323055555556</v>
          </cell>
          <cell r="P14" t="str">
            <v>RANGEL BECERRA LUIS ALBERTO</v>
          </cell>
          <cell r="Q14">
            <v>0</v>
          </cell>
          <cell r="R14" t="str">
            <v>CENS PRINCIPAL CÚCUTA</v>
          </cell>
          <cell r="S14">
            <v>0</v>
          </cell>
          <cell r="T14">
            <v>41978000</v>
          </cell>
          <cell r="V14">
            <v>0</v>
          </cell>
          <cell r="W14">
            <v>0</v>
          </cell>
          <cell r="X14">
            <v>0</v>
          </cell>
          <cell r="Y14">
            <v>0</v>
          </cell>
          <cell r="Z14">
            <v>0</v>
          </cell>
          <cell r="AC14">
            <v>0</v>
          </cell>
          <cell r="AD14">
            <v>2011</v>
          </cell>
          <cell r="AE14">
            <v>0</v>
          </cell>
          <cell r="AF14" t="str">
            <v>CERTIFICADO DISPONIBILIDAD PRESUPUESTAL</v>
          </cell>
          <cell r="AG14" t="str">
            <v>CV</v>
          </cell>
          <cell r="AH14" t="str">
            <v>CERTIFICADO DE VIGENCIAS FUTURAS</v>
          </cell>
          <cell r="AJ14">
            <v>0</v>
          </cell>
          <cell r="AL14" t="str">
            <v>S</v>
          </cell>
          <cell r="AM14" t="str">
            <v>C</v>
          </cell>
          <cell r="AN14" t="str">
            <v>N</v>
          </cell>
          <cell r="AQ14">
            <v>0</v>
          </cell>
          <cell r="AR14">
            <v>460</v>
          </cell>
          <cell r="AS14" t="str">
            <v>PROCESO FACTURACIÓN Y COBRANZAS</v>
          </cell>
        </row>
        <row r="15">
          <cell r="A15">
            <v>7061</v>
          </cell>
          <cell r="B15">
            <v>40613</v>
          </cell>
          <cell r="C15">
            <v>11</v>
          </cell>
          <cell r="D15" t="str">
            <v>CD</v>
          </cell>
          <cell r="E15" t="str">
            <v>RAD #3086, SOLICITUD DE CD VIGENCIA FUTURA, PARA LA COMPRA DE ENERGÍA Y POTENCIA CON DESTINO AL MERCADO REGULADO Y NO REGULADO, PARA CUBRIR LA DEMANDA PROYECTADA DE LOS MERCADOS DE CENS, SEGÚN REUNIÓN 716 DE JUNTA DIRECTIVA.</v>
          </cell>
          <cell r="G15" t="str">
            <v>N</v>
          </cell>
          <cell r="H15" t="str">
            <v>P</v>
          </cell>
          <cell r="I15">
            <v>1</v>
          </cell>
          <cell r="J15">
            <v>110</v>
          </cell>
          <cell r="K15" t="str">
            <v>MONDRAGON VILLAMIZAR WILLIAM</v>
          </cell>
          <cell r="L15">
            <v>0</v>
          </cell>
          <cell r="M15">
            <v>0</v>
          </cell>
          <cell r="N15">
            <v>13500747</v>
          </cell>
          <cell r="O15">
            <v>40613.416331018518</v>
          </cell>
          <cell r="P15" t="str">
            <v>JUNTA   DIRECTIVA CENS</v>
          </cell>
          <cell r="Q15">
            <v>0</v>
          </cell>
          <cell r="R15" t="str">
            <v>CENS PRINCIPAL CÚCUTA</v>
          </cell>
          <cell r="S15">
            <v>0</v>
          </cell>
          <cell r="T15">
            <v>16235000000</v>
          </cell>
          <cell r="V15">
            <v>0</v>
          </cell>
          <cell r="W15">
            <v>0</v>
          </cell>
          <cell r="X15">
            <v>0</v>
          </cell>
          <cell r="Y15">
            <v>0</v>
          </cell>
          <cell r="Z15">
            <v>0</v>
          </cell>
          <cell r="AC15">
            <v>0</v>
          </cell>
          <cell r="AD15">
            <v>2011</v>
          </cell>
          <cell r="AE15">
            <v>0</v>
          </cell>
          <cell r="AF15" t="str">
            <v>CERTIFICADO DISPONIBILIDAD PRESUPUESTAL</v>
          </cell>
          <cell r="AG15" t="str">
            <v>CV</v>
          </cell>
          <cell r="AH15" t="str">
            <v>CERTIFICADO DE VIGENCIAS FUTURAS</v>
          </cell>
          <cell r="AJ15">
            <v>0</v>
          </cell>
          <cell r="AL15" t="str">
            <v>S</v>
          </cell>
          <cell r="AM15" t="str">
            <v>C</v>
          </cell>
          <cell r="AN15" t="str">
            <v>N</v>
          </cell>
          <cell r="AQ15">
            <v>0</v>
          </cell>
          <cell r="AR15">
            <v>410</v>
          </cell>
          <cell r="AS15" t="str">
            <v>MERCADO MAYORISTA</v>
          </cell>
        </row>
        <row r="16">
          <cell r="A16">
            <v>7062</v>
          </cell>
          <cell r="B16">
            <v>40613</v>
          </cell>
          <cell r="C16">
            <v>11</v>
          </cell>
          <cell r="D16" t="str">
            <v>CD</v>
          </cell>
          <cell r="E16" t="str">
            <v>RAD #3086, SOLICITUD DE CD VIGENCIA FUTURA, PARA LA COMPRA DE ENERGÍA Y POTENCIA CON DESTINO AL MERCADO REGULADO Y NO REGULADO, PARA CUBRIR LA DEMANDA PROYECTADA DE LOS MERCADOS DE CENS, SEGÚN REUNIÓN 716 DE JUNTA DIRECTIVA.</v>
          </cell>
          <cell r="G16" t="str">
            <v>N</v>
          </cell>
          <cell r="H16" t="str">
            <v>P</v>
          </cell>
          <cell r="I16">
            <v>1</v>
          </cell>
          <cell r="J16">
            <v>110</v>
          </cell>
          <cell r="K16" t="str">
            <v>MONDRAGON VILLAMIZAR WILLIAM</v>
          </cell>
          <cell r="L16">
            <v>0</v>
          </cell>
          <cell r="M16">
            <v>0</v>
          </cell>
          <cell r="N16">
            <v>13500747</v>
          </cell>
          <cell r="O16">
            <v>40613.436064814814</v>
          </cell>
          <cell r="P16" t="str">
            <v>JUNTA   DIRECTIVA CENS</v>
          </cell>
          <cell r="Q16">
            <v>0</v>
          </cell>
          <cell r="R16" t="str">
            <v>CENS PRINCIPAL CÚCUTA</v>
          </cell>
          <cell r="S16">
            <v>0</v>
          </cell>
          <cell r="T16">
            <v>106354000000</v>
          </cell>
          <cell r="V16">
            <v>0</v>
          </cell>
          <cell r="W16">
            <v>0</v>
          </cell>
          <cell r="X16">
            <v>0</v>
          </cell>
          <cell r="Y16">
            <v>0</v>
          </cell>
          <cell r="Z16">
            <v>0</v>
          </cell>
          <cell r="AC16">
            <v>0</v>
          </cell>
          <cell r="AD16">
            <v>2011</v>
          </cell>
          <cell r="AE16">
            <v>0</v>
          </cell>
          <cell r="AF16" t="str">
            <v>CERTIFICADO DISPONIBILIDAD PRESUPUESTAL</v>
          </cell>
          <cell r="AG16" t="str">
            <v>CV</v>
          </cell>
          <cell r="AH16" t="str">
            <v>CERTIFICADO DE VIGENCIAS FUTURAS</v>
          </cell>
          <cell r="AJ16">
            <v>0</v>
          </cell>
          <cell r="AL16" t="str">
            <v>S</v>
          </cell>
          <cell r="AM16" t="str">
            <v>C</v>
          </cell>
          <cell r="AN16" t="str">
            <v>N</v>
          </cell>
          <cell r="AQ16">
            <v>0</v>
          </cell>
          <cell r="AR16">
            <v>410</v>
          </cell>
          <cell r="AS16" t="str">
            <v>MERCADO MAYORISTA</v>
          </cell>
        </row>
        <row r="17">
          <cell r="A17">
            <v>7063</v>
          </cell>
          <cell r="B17">
            <v>40613</v>
          </cell>
          <cell r="C17">
            <v>11</v>
          </cell>
          <cell r="D17" t="str">
            <v>CD</v>
          </cell>
          <cell r="E17" t="str">
            <v>RAD #3086, SOLICITUD DE CD VIGENCIA FUTURA, PARA LA COMPRA DE ENERGÍA Y POTENCIA CON DESTINO AL MERCADO REGULADO Y NO REGULADO, PARA CUBRIR LA DEMANDA PROYECTADA DE LOS MERCADOS DE CENS, SEGÚN REUNIÓN 716 DE JUNTA DIRECTIVA.</v>
          </cell>
          <cell r="G17" t="str">
            <v>N</v>
          </cell>
          <cell r="H17" t="str">
            <v>P</v>
          </cell>
          <cell r="I17">
            <v>1</v>
          </cell>
          <cell r="J17">
            <v>110</v>
          </cell>
          <cell r="K17" t="str">
            <v>MONDRAGON VILLAMIZAR WILLIAM</v>
          </cell>
          <cell r="L17">
            <v>0</v>
          </cell>
          <cell r="M17">
            <v>0</v>
          </cell>
          <cell r="N17">
            <v>13500747</v>
          </cell>
          <cell r="O17">
            <v>40613.444780092592</v>
          </cell>
          <cell r="P17" t="str">
            <v>JUNTA   DIRECTIVA CENS</v>
          </cell>
          <cell r="Q17">
            <v>0</v>
          </cell>
          <cell r="R17" t="str">
            <v>CENS PRINCIPAL CÚCUTA</v>
          </cell>
          <cell r="S17">
            <v>0</v>
          </cell>
          <cell r="T17">
            <v>200310000000</v>
          </cell>
          <cell r="V17">
            <v>0</v>
          </cell>
          <cell r="W17">
            <v>0</v>
          </cell>
          <cell r="X17">
            <v>0</v>
          </cell>
          <cell r="Y17">
            <v>0</v>
          </cell>
          <cell r="Z17">
            <v>0</v>
          </cell>
          <cell r="AC17">
            <v>0</v>
          </cell>
          <cell r="AD17">
            <v>2011</v>
          </cell>
          <cell r="AE17">
            <v>0</v>
          </cell>
          <cell r="AF17" t="str">
            <v>CERTIFICADO DISPONIBILIDAD PRESUPUESTAL</v>
          </cell>
          <cell r="AG17" t="str">
            <v>CV</v>
          </cell>
          <cell r="AH17" t="str">
            <v>CERTIFICADO DE VIGENCIAS FUTURAS</v>
          </cell>
          <cell r="AJ17">
            <v>0</v>
          </cell>
          <cell r="AL17" t="str">
            <v>S</v>
          </cell>
          <cell r="AM17" t="str">
            <v>C</v>
          </cell>
          <cell r="AN17" t="str">
            <v>N</v>
          </cell>
          <cell r="AQ17">
            <v>0</v>
          </cell>
          <cell r="AR17">
            <v>410</v>
          </cell>
          <cell r="AS17" t="str">
            <v>MERCADO MAYORISTA</v>
          </cell>
        </row>
        <row r="18">
          <cell r="A18">
            <v>7099</v>
          </cell>
          <cell r="B18">
            <v>40630</v>
          </cell>
          <cell r="C18">
            <v>11</v>
          </cell>
          <cell r="D18" t="str">
            <v>CD</v>
          </cell>
          <cell r="E18" t="str">
            <v>RADICADO #4284, SOLICITUD DE CD VIGENCIA FUTURA PARA SUSCRIBIR UN CONTRATO DE CONEXIÓN CON ISA QUE REGULE SUS RELACIONES TÉCNICAS, COMERCIALES Y ADMINISTRATIVAS, SEGÚN APROBADO POR JUNTA DIRECTIVA 717 DEL 25 DE MARZO DEL 2011.</v>
          </cell>
          <cell r="G18" t="str">
            <v>N</v>
          </cell>
          <cell r="H18" t="str">
            <v>P</v>
          </cell>
          <cell r="I18">
            <v>1</v>
          </cell>
          <cell r="J18">
            <v>110</v>
          </cell>
          <cell r="K18" t="str">
            <v>MONDRAGON VILLAMIZAR WILLIAM</v>
          </cell>
          <cell r="L18">
            <v>0</v>
          </cell>
          <cell r="M18">
            <v>0</v>
          </cell>
          <cell r="N18">
            <v>13500747</v>
          </cell>
          <cell r="O18">
            <v>40630.619398148148</v>
          </cell>
          <cell r="P18" t="str">
            <v>JUNTA   DIRECTIVA CENS</v>
          </cell>
          <cell r="Q18">
            <v>0</v>
          </cell>
          <cell r="R18" t="str">
            <v>CENS PRINCIPAL CÚCUTA</v>
          </cell>
          <cell r="S18">
            <v>0</v>
          </cell>
          <cell r="T18">
            <v>1400000000</v>
          </cell>
          <cell r="V18">
            <v>0</v>
          </cell>
          <cell r="W18">
            <v>0</v>
          </cell>
          <cell r="X18">
            <v>0</v>
          </cell>
          <cell r="Y18">
            <v>0</v>
          </cell>
          <cell r="Z18">
            <v>0</v>
          </cell>
          <cell r="AC18">
            <v>0</v>
          </cell>
          <cell r="AD18">
            <v>2011</v>
          </cell>
          <cell r="AE18">
            <v>0</v>
          </cell>
          <cell r="AF18" t="str">
            <v>CERTIFICADO DISPONIBILIDAD PRESUPUESTAL</v>
          </cell>
          <cell r="AG18" t="str">
            <v>CV</v>
          </cell>
          <cell r="AH18" t="str">
            <v>CERTIFICADO DE VIGENCIAS FUTURAS</v>
          </cell>
          <cell r="AJ18">
            <v>0</v>
          </cell>
          <cell r="AL18" t="str">
            <v>S</v>
          </cell>
          <cell r="AM18" t="str">
            <v>C</v>
          </cell>
          <cell r="AN18" t="str">
            <v>N</v>
          </cell>
          <cell r="AQ18">
            <v>0</v>
          </cell>
          <cell r="AR18">
            <v>333</v>
          </cell>
          <cell r="AS18" t="str">
            <v>PROCESO CONEXIÓN AL USUARIO</v>
          </cell>
        </row>
        <row r="19">
          <cell r="A19">
            <v>7117</v>
          </cell>
          <cell r="B19">
            <v>40633</v>
          </cell>
          <cell r="C19">
            <v>11</v>
          </cell>
          <cell r="D19" t="str">
            <v>CD</v>
          </cell>
          <cell r="E19" t="str">
            <v>RADICADO MERCURIO # 5232 SOLICITUD DE CD VIGENCIA FUTURA  PARA INICIAR EL PROCESO CUYO OBJETO ES CONTRATAR UNA CUADRILLA PARA EJECUTAR LAS ACTIVIDADES DE MANTENIMIENTO SOBRE EL SISTEMA DE TRANSMISIÓN DE CENS.</v>
          </cell>
          <cell r="G19" t="str">
            <v>N</v>
          </cell>
          <cell r="H19" t="str">
            <v>P</v>
          </cell>
          <cell r="I19">
            <v>1</v>
          </cell>
          <cell r="J19">
            <v>13235656</v>
          </cell>
          <cell r="K19" t="str">
            <v>CHAUSTRE LARA JOSE RAFAEL</v>
          </cell>
          <cell r="L19">
            <v>0</v>
          </cell>
          <cell r="M19">
            <v>0</v>
          </cell>
          <cell r="N19">
            <v>13452676</v>
          </cell>
          <cell r="O19">
            <v>40633.713136574072</v>
          </cell>
          <cell r="P19" t="str">
            <v>RANGEL BECERRA LUIS ALBERTO</v>
          </cell>
          <cell r="Q19">
            <v>0</v>
          </cell>
          <cell r="R19" t="str">
            <v>CENS PRINCIPAL CÚCUTA</v>
          </cell>
          <cell r="S19">
            <v>0</v>
          </cell>
          <cell r="T19">
            <v>98500000</v>
          </cell>
          <cell r="V19">
            <v>0</v>
          </cell>
          <cell r="W19">
            <v>0</v>
          </cell>
          <cell r="X19">
            <v>0</v>
          </cell>
          <cell r="Y19">
            <v>0</v>
          </cell>
          <cell r="Z19">
            <v>0</v>
          </cell>
          <cell r="AC19">
            <v>0</v>
          </cell>
          <cell r="AD19">
            <v>2011</v>
          </cell>
          <cell r="AE19">
            <v>0</v>
          </cell>
          <cell r="AF19" t="str">
            <v>CERTIFICADO DISPONIBILIDAD PRESUPUESTAL</v>
          </cell>
          <cell r="AG19" t="str">
            <v>CV</v>
          </cell>
          <cell r="AH19" t="str">
            <v>CERTIFICADO DE VIGENCIAS FUTURAS</v>
          </cell>
          <cell r="AJ19">
            <v>0</v>
          </cell>
          <cell r="AL19" t="str">
            <v>S</v>
          </cell>
          <cell r="AM19" t="str">
            <v>C</v>
          </cell>
          <cell r="AN19" t="str">
            <v>N</v>
          </cell>
          <cell r="AQ19">
            <v>0</v>
          </cell>
          <cell r="AR19">
            <v>334</v>
          </cell>
          <cell r="AS19" t="str">
            <v>PROCESO TRANSPORTE DE ENERGÍA</v>
          </cell>
        </row>
        <row r="20">
          <cell r="A20">
            <v>7221</v>
          </cell>
          <cell r="B20">
            <v>40672</v>
          </cell>
          <cell r="C20">
            <v>11</v>
          </cell>
          <cell r="D20" t="str">
            <v>CD</v>
          </cell>
          <cell r="E20" t="str">
            <v>RAD MER. # 6240, LA JD 718 APROBO, VER AUTORIZACIÓN DE JD NRO. 066. PARA INCREMENTAR EN 100 COMPUTADORES EL ARRENDAMIENTO OPERATIVO POR UN PLAZO DE TRES (3) AÑOS, SEGÚN ACTA DE EJECUCIÓN NRO. 002-2010 SUSCRITA SOPORTAR LA IMPLANTACIÓN DEL SISTEMA COMERCIA</v>
          </cell>
          <cell r="G20" t="str">
            <v>N</v>
          </cell>
          <cell r="H20" t="str">
            <v>P</v>
          </cell>
          <cell r="I20">
            <v>1</v>
          </cell>
          <cell r="J20">
            <v>110</v>
          </cell>
          <cell r="K20" t="str">
            <v>HERNANDEZ CORONA MARTHA LILIANA</v>
          </cell>
          <cell r="L20">
            <v>0</v>
          </cell>
          <cell r="M20">
            <v>0</v>
          </cell>
          <cell r="N20">
            <v>60314124</v>
          </cell>
          <cell r="O20">
            <v>40672.32440972222</v>
          </cell>
          <cell r="P20" t="str">
            <v>JUNTA   DIRECTIVA CENS</v>
          </cell>
          <cell r="Q20">
            <v>0</v>
          </cell>
          <cell r="R20" t="str">
            <v>CENS PRINCIPAL CÚCUTA</v>
          </cell>
          <cell r="S20">
            <v>0</v>
          </cell>
          <cell r="T20">
            <v>121000000</v>
          </cell>
          <cell r="V20">
            <v>0</v>
          </cell>
          <cell r="W20">
            <v>0</v>
          </cell>
          <cell r="X20">
            <v>0</v>
          </cell>
          <cell r="Y20">
            <v>0</v>
          </cell>
          <cell r="Z20">
            <v>0</v>
          </cell>
          <cell r="AC20">
            <v>0</v>
          </cell>
          <cell r="AD20">
            <v>2011</v>
          </cell>
          <cell r="AE20">
            <v>0</v>
          </cell>
          <cell r="AF20" t="str">
            <v>CERTIFICADO DISPONIBILIDAD PRESUPUESTAL</v>
          </cell>
          <cell r="AG20" t="str">
            <v>CV</v>
          </cell>
          <cell r="AH20" t="str">
            <v>CERTIFICADO DE VIGENCIAS FUTURAS</v>
          </cell>
          <cell r="AJ20">
            <v>0</v>
          </cell>
          <cell r="AL20" t="str">
            <v>S</v>
          </cell>
          <cell r="AM20" t="str">
            <v>C</v>
          </cell>
          <cell r="AN20" t="str">
            <v>N</v>
          </cell>
          <cell r="AQ20">
            <v>0</v>
          </cell>
          <cell r="AR20">
            <v>250</v>
          </cell>
          <cell r="AS20" t="str">
            <v>SISTEMAS</v>
          </cell>
        </row>
        <row r="21">
          <cell r="A21">
            <v>7222</v>
          </cell>
          <cell r="B21">
            <v>40672</v>
          </cell>
          <cell r="C21">
            <v>11</v>
          </cell>
          <cell r="D21" t="str">
            <v>CD</v>
          </cell>
          <cell r="E21" t="str">
            <v>RAD MER. # 6240, LA JD 718 APROBO, VER AUTORIZACIÓN DE JD NRO. 066. PARA INCREMENTAR EN 100 COMPUTADORES EL ARRENDAMIENTO OPERATIVO POR UN PLAZO DE TRES (3) AÑOS, SEGÚN ACTA DE EJECUCIÓN NRO. 002-2010 SUSCRITA SOPORTAR LA IMPLANTACIÓN DEL SISTEMA COMERCIA</v>
          </cell>
          <cell r="G21" t="str">
            <v>N</v>
          </cell>
          <cell r="H21" t="str">
            <v>P</v>
          </cell>
          <cell r="I21">
            <v>1</v>
          </cell>
          <cell r="J21">
            <v>110</v>
          </cell>
          <cell r="K21" t="str">
            <v>HERNANDEZ CORONA MARTHA LILIANA</v>
          </cell>
          <cell r="L21">
            <v>0</v>
          </cell>
          <cell r="M21">
            <v>0</v>
          </cell>
          <cell r="N21">
            <v>60314124</v>
          </cell>
          <cell r="O21">
            <v>40672.328113425923</v>
          </cell>
          <cell r="P21" t="str">
            <v>JUNTA   DIRECTIVA CENS</v>
          </cell>
          <cell r="Q21">
            <v>0</v>
          </cell>
          <cell r="R21" t="str">
            <v>CENS PRINCIPAL CÚCUTA</v>
          </cell>
          <cell r="S21">
            <v>0</v>
          </cell>
          <cell r="T21">
            <v>121000000</v>
          </cell>
          <cell r="V21">
            <v>0</v>
          </cell>
          <cell r="W21">
            <v>0</v>
          </cell>
          <cell r="X21">
            <v>0</v>
          </cell>
          <cell r="Y21">
            <v>0</v>
          </cell>
          <cell r="Z21">
            <v>0</v>
          </cell>
          <cell r="AC21">
            <v>0</v>
          </cell>
          <cell r="AD21">
            <v>2011</v>
          </cell>
          <cell r="AE21">
            <v>0</v>
          </cell>
          <cell r="AF21" t="str">
            <v>CERTIFICADO DISPONIBILIDAD PRESUPUESTAL</v>
          </cell>
          <cell r="AG21" t="str">
            <v>CV</v>
          </cell>
          <cell r="AH21" t="str">
            <v>CERTIFICADO DE VIGENCIAS FUTURAS</v>
          </cell>
          <cell r="AJ21">
            <v>0</v>
          </cell>
          <cell r="AL21" t="str">
            <v>S</v>
          </cell>
          <cell r="AM21" t="str">
            <v>C</v>
          </cell>
          <cell r="AN21" t="str">
            <v>N</v>
          </cell>
          <cell r="AQ21">
            <v>0</v>
          </cell>
          <cell r="AR21">
            <v>250</v>
          </cell>
          <cell r="AS21" t="str">
            <v>SISTEMAS</v>
          </cell>
        </row>
        <row r="22">
          <cell r="A22">
            <v>7223</v>
          </cell>
          <cell r="B22">
            <v>40672</v>
          </cell>
          <cell r="C22">
            <v>11</v>
          </cell>
          <cell r="D22" t="str">
            <v>CD</v>
          </cell>
          <cell r="E22" t="str">
            <v>RAD MER. # 6240, LA JD 718 APROBO, VER AUTORIZACIÓN DE JD NRO. 066. PARA INCREMENTAR EN 100 COMPUTADORES EL ARRENDAMIENTO OPERATIVO POR UN PLAZO DE TRES (3) AÑOS, SEGÚN ACTA DE EJECUCIÓN NRO. 002-2010 SUSCRITA SOPORTAR LA IMPLANTACIÓN DEL SISTEMA COMERCIA</v>
          </cell>
          <cell r="G22" t="str">
            <v>N</v>
          </cell>
          <cell r="H22" t="str">
            <v>P</v>
          </cell>
          <cell r="I22">
            <v>1</v>
          </cell>
          <cell r="J22">
            <v>110</v>
          </cell>
          <cell r="K22" t="str">
            <v>HERNANDEZ CORONA MARTHA LILIANA</v>
          </cell>
          <cell r="L22">
            <v>0</v>
          </cell>
          <cell r="M22">
            <v>0</v>
          </cell>
          <cell r="N22">
            <v>60314124</v>
          </cell>
          <cell r="O22">
            <v>40672.331111111111</v>
          </cell>
          <cell r="P22" t="str">
            <v>JUNTA   DIRECTIVA CENS</v>
          </cell>
          <cell r="Q22">
            <v>0</v>
          </cell>
          <cell r="R22" t="str">
            <v>CENS PRINCIPAL CÚCUTA</v>
          </cell>
          <cell r="S22">
            <v>0</v>
          </cell>
          <cell r="T22">
            <v>61000000</v>
          </cell>
          <cell r="V22">
            <v>0</v>
          </cell>
          <cell r="W22">
            <v>0</v>
          </cell>
          <cell r="X22">
            <v>0</v>
          </cell>
          <cell r="Y22">
            <v>0</v>
          </cell>
          <cell r="Z22">
            <v>0</v>
          </cell>
          <cell r="AC22">
            <v>0</v>
          </cell>
          <cell r="AD22">
            <v>2011</v>
          </cell>
          <cell r="AE22">
            <v>0</v>
          </cell>
          <cell r="AF22" t="str">
            <v>CERTIFICADO DISPONIBILIDAD PRESUPUESTAL</v>
          </cell>
          <cell r="AG22" t="str">
            <v>CV</v>
          </cell>
          <cell r="AH22" t="str">
            <v>CERTIFICADO DE VIGENCIAS FUTURAS</v>
          </cell>
          <cell r="AJ22">
            <v>0</v>
          </cell>
          <cell r="AL22" t="str">
            <v>S</v>
          </cell>
          <cell r="AM22" t="str">
            <v>C</v>
          </cell>
          <cell r="AN22" t="str">
            <v>N</v>
          </cell>
          <cell r="AQ22">
            <v>0</v>
          </cell>
          <cell r="AR22">
            <v>250</v>
          </cell>
          <cell r="AS22" t="str">
            <v>SISTEMAS</v>
          </cell>
        </row>
        <row r="23">
          <cell r="A23">
            <v>7442</v>
          </cell>
          <cell r="B23">
            <v>40764</v>
          </cell>
          <cell r="C23">
            <v>11</v>
          </cell>
          <cell r="D23" t="str">
            <v>CD</v>
          </cell>
          <cell r="E23" t="str">
            <v>RAD. # 9459 SEGUN ACTA 720 DE LA JUNTA DIRECTIVA SE EXPIDE VIGENCIA FUTURA PARA EL ARRENDAMIENTO OPERATIVO DE UNA PLANTA DE TELEFONÍA IP, CON LOS RESPECTIVOS APARATOS TELEFÓNICOS,  INCLUYENDO MANTENIMIENTO PREVENTIVO Y CORRECTIVO CON REPUESTOS, PARA LAS S</v>
          </cell>
          <cell r="G23" t="str">
            <v>N</v>
          </cell>
          <cell r="H23" t="str">
            <v>P</v>
          </cell>
          <cell r="I23">
            <v>1</v>
          </cell>
          <cell r="J23">
            <v>110</v>
          </cell>
          <cell r="K23" t="str">
            <v>RODRIGUEZ RODRIGUEZ JAIRO</v>
          </cell>
          <cell r="L23">
            <v>0</v>
          </cell>
          <cell r="M23">
            <v>0</v>
          </cell>
          <cell r="N23">
            <v>13461285</v>
          </cell>
          <cell r="O23">
            <v>40764.340057870373</v>
          </cell>
          <cell r="P23" t="str">
            <v>JUNTA   DIRECTIVA CENS</v>
          </cell>
          <cell r="Q23">
            <v>0</v>
          </cell>
          <cell r="R23" t="str">
            <v>CENS PRINCIPAL CÚCUTA</v>
          </cell>
          <cell r="S23">
            <v>0</v>
          </cell>
          <cell r="T23">
            <v>246000000</v>
          </cell>
          <cell r="V23">
            <v>0</v>
          </cell>
          <cell r="W23">
            <v>0</v>
          </cell>
          <cell r="X23">
            <v>0</v>
          </cell>
          <cell r="Y23">
            <v>0</v>
          </cell>
          <cell r="Z23">
            <v>0</v>
          </cell>
          <cell r="AC23">
            <v>0</v>
          </cell>
          <cell r="AD23">
            <v>2011</v>
          </cell>
          <cell r="AE23">
            <v>0</v>
          </cell>
          <cell r="AF23" t="str">
            <v>CERTIFICADO DISPONIBILIDAD PRESUPUESTAL</v>
          </cell>
          <cell r="AG23" t="str">
            <v>CV</v>
          </cell>
          <cell r="AH23" t="str">
            <v>CERTIFICADO DE VIGENCIAS FUTURAS</v>
          </cell>
          <cell r="AJ23">
            <v>0</v>
          </cell>
          <cell r="AL23" t="str">
            <v>S</v>
          </cell>
          <cell r="AM23" t="str">
            <v>C</v>
          </cell>
          <cell r="AN23" t="str">
            <v>N</v>
          </cell>
          <cell r="AQ23">
            <v>0</v>
          </cell>
          <cell r="AR23">
            <v>220</v>
          </cell>
          <cell r="AS23" t="str">
            <v>SERVICIOS ADMINISTRATIVOS</v>
          </cell>
        </row>
        <row r="24">
          <cell r="A24">
            <v>7443</v>
          </cell>
          <cell r="B24">
            <v>40764</v>
          </cell>
          <cell r="C24">
            <v>11</v>
          </cell>
          <cell r="D24" t="str">
            <v>CD</v>
          </cell>
          <cell r="E24" t="str">
            <v>RAD. # 9459 SEGUN ACTA 720 DE LA JUNTA DIRECTIVA SE EXPIDE VIGENCIA FUTURA PARA EL ARRENDAMIENTO OPERATIVO DE UNA PLANTA DE TELEFONÍA IP, CON LOS RESPECTIVOS APARATOS TELEFÓNICOS,  INCLUYENDO MANTENIMIENTO PREVENTIVO Y CORRECTIVO CON REPUESTOS, PARA LAS S</v>
          </cell>
          <cell r="G24" t="str">
            <v>N</v>
          </cell>
          <cell r="H24" t="str">
            <v>P</v>
          </cell>
          <cell r="I24">
            <v>1</v>
          </cell>
          <cell r="J24">
            <v>110</v>
          </cell>
          <cell r="K24" t="str">
            <v>RODRIGUEZ RODRIGUEZ JAIRO</v>
          </cell>
          <cell r="L24">
            <v>0</v>
          </cell>
          <cell r="M24">
            <v>0</v>
          </cell>
          <cell r="N24">
            <v>13461285</v>
          </cell>
          <cell r="O24">
            <v>40764.347361111111</v>
          </cell>
          <cell r="P24" t="str">
            <v>JUNTA   DIRECTIVA CENS</v>
          </cell>
          <cell r="Q24">
            <v>0</v>
          </cell>
          <cell r="R24" t="str">
            <v>CENS PRINCIPAL CÚCUTA</v>
          </cell>
          <cell r="S24">
            <v>0</v>
          </cell>
          <cell r="T24">
            <v>246000000</v>
          </cell>
          <cell r="V24">
            <v>0</v>
          </cell>
          <cell r="W24">
            <v>0</v>
          </cell>
          <cell r="X24">
            <v>0</v>
          </cell>
          <cell r="Y24">
            <v>0</v>
          </cell>
          <cell r="Z24">
            <v>0</v>
          </cell>
          <cell r="AC24">
            <v>0</v>
          </cell>
          <cell r="AD24">
            <v>2011</v>
          </cell>
          <cell r="AE24">
            <v>0</v>
          </cell>
          <cell r="AF24" t="str">
            <v>CERTIFICADO DISPONIBILIDAD PRESUPUESTAL</v>
          </cell>
          <cell r="AG24" t="str">
            <v>CV</v>
          </cell>
          <cell r="AH24" t="str">
            <v>CERTIFICADO DE VIGENCIAS FUTURAS</v>
          </cell>
          <cell r="AJ24">
            <v>0</v>
          </cell>
          <cell r="AL24" t="str">
            <v>S</v>
          </cell>
          <cell r="AM24" t="str">
            <v>C</v>
          </cell>
          <cell r="AN24" t="str">
            <v>N</v>
          </cell>
          <cell r="AQ24">
            <v>0</v>
          </cell>
          <cell r="AR24">
            <v>220</v>
          </cell>
          <cell r="AS24" t="str">
            <v>SERVICIOS ADMINISTRATIVOS</v>
          </cell>
        </row>
        <row r="25">
          <cell r="A25">
            <v>7444</v>
          </cell>
          <cell r="B25">
            <v>40764</v>
          </cell>
          <cell r="C25">
            <v>11</v>
          </cell>
          <cell r="D25" t="str">
            <v>CD</v>
          </cell>
          <cell r="E25" t="str">
            <v>RAD. # 9459 SEGUN ACTA 720 DE LA JUNTA DIRECTIVA SE EXPIDE VIGENCIA FUTURA PARA EL ARRENDAMIENTO OPERATIVO DE UNA PLANTA DE TELEFONÍA IP, CON LOS RESPECTIVOS APARATOS TELEFÓNICOS,  INCLUYENDO MANTENIMIENTO PREVENTIVO Y CORRECTIVO CON REPUESTOS, PARA LAS S</v>
          </cell>
          <cell r="G25" t="str">
            <v>N</v>
          </cell>
          <cell r="H25" t="str">
            <v>P</v>
          </cell>
          <cell r="I25">
            <v>1</v>
          </cell>
          <cell r="J25">
            <v>110</v>
          </cell>
          <cell r="K25" t="str">
            <v>RODRIGUEZ RODRIGUEZ JAIRO</v>
          </cell>
          <cell r="L25">
            <v>0</v>
          </cell>
          <cell r="M25">
            <v>0</v>
          </cell>
          <cell r="N25">
            <v>13461285</v>
          </cell>
          <cell r="O25">
            <v>40764.348263888889</v>
          </cell>
          <cell r="P25" t="str">
            <v>JUNTA   DIRECTIVA CENS</v>
          </cell>
          <cell r="Q25">
            <v>0</v>
          </cell>
          <cell r="R25" t="str">
            <v>CENS PRINCIPAL CÚCUTA</v>
          </cell>
          <cell r="S25">
            <v>0</v>
          </cell>
          <cell r="T25">
            <v>164000000</v>
          </cell>
          <cell r="V25">
            <v>0</v>
          </cell>
          <cell r="W25">
            <v>0</v>
          </cell>
          <cell r="X25">
            <v>0</v>
          </cell>
          <cell r="Y25">
            <v>0</v>
          </cell>
          <cell r="Z25">
            <v>0</v>
          </cell>
          <cell r="AC25">
            <v>0</v>
          </cell>
          <cell r="AD25">
            <v>2011</v>
          </cell>
          <cell r="AE25">
            <v>0</v>
          </cell>
          <cell r="AF25" t="str">
            <v>CERTIFICADO DISPONIBILIDAD PRESUPUESTAL</v>
          </cell>
          <cell r="AG25" t="str">
            <v>CV</v>
          </cell>
          <cell r="AH25" t="str">
            <v>CERTIFICADO DE VIGENCIAS FUTURAS</v>
          </cell>
          <cell r="AJ25">
            <v>0</v>
          </cell>
          <cell r="AL25" t="str">
            <v>S</v>
          </cell>
          <cell r="AM25" t="str">
            <v>C</v>
          </cell>
          <cell r="AN25" t="str">
            <v>N</v>
          </cell>
          <cell r="AQ25">
            <v>0</v>
          </cell>
          <cell r="AR25">
            <v>220</v>
          </cell>
          <cell r="AS25" t="str">
            <v>SERVICIOS ADMINISTRATIVOS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Agrupación OM"/>
      <sheetName val="F_Priorización OM"/>
      <sheetName val="Ej. Análisis Causal"/>
      <sheetName val="F_Análisis Causal"/>
      <sheetName val="F_Plan de Mejora y Seguimiento"/>
      <sheetName val="Tablas"/>
      <sheetName val="Hoja2"/>
    </sheetNames>
    <sheetDataSet>
      <sheetData sheetId="0"/>
      <sheetData sheetId="1"/>
      <sheetData sheetId="2"/>
      <sheetData sheetId="3"/>
      <sheetData sheetId="4"/>
      <sheetData sheetId="5">
        <row r="2">
          <cell r="B2" t="str">
            <v>DIRECCIONAMIENTO ESTRATÉGICO</v>
          </cell>
          <cell r="N2" t="str">
            <v>ESTRATÉGICO</v>
          </cell>
        </row>
        <row r="3">
          <cell r="N3" t="str">
            <v>CLIENTE ASISTENCIAL</v>
          </cell>
        </row>
        <row r="4">
          <cell r="N4" t="str">
            <v>DIRECCIONAMIENTO Y GERENCIA</v>
          </cell>
        </row>
        <row r="5">
          <cell r="N5" t="str">
            <v>TALENTO HUMANO</v>
          </cell>
        </row>
        <row r="6">
          <cell r="N6" t="str">
            <v>AMBIENTE FÍSICO</v>
          </cell>
        </row>
        <row r="7">
          <cell r="N7" t="str">
            <v>GESTIÓN DE LA TECNOLOGÍA</v>
          </cell>
        </row>
        <row r="8">
          <cell r="N8" t="str">
            <v>GESTIÓN DE LA INFORMACIÓN</v>
          </cell>
        </row>
        <row r="9">
          <cell r="N9" t="str">
            <v>COMITÉ TÉCNICO</v>
          </cell>
        </row>
        <row r="10">
          <cell r="N10" t="str">
            <v>COMITÉ CALIDAD Y SEGURIDAD - EAC</v>
          </cell>
        </row>
        <row r="11">
          <cell r="N11" t="str">
            <v>COMITÉ VIGILANCIA EPIDEMIOLÓGICA</v>
          </cell>
        </row>
        <row r="12">
          <cell r="N12" t="str">
            <v>COMITÉ HISTORIA CLÍNICA</v>
          </cell>
        </row>
        <row r="13">
          <cell r="N13" t="str">
            <v>COMITÉ DE PyP</v>
          </cell>
        </row>
        <row r="14">
          <cell r="N14" t="str">
            <v>COMITÉ DE EMERGENCIAS</v>
          </cell>
        </row>
        <row r="15">
          <cell r="N15">
            <v>0</v>
          </cell>
        </row>
      </sheetData>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Priorización OM"/>
      <sheetName val="F_Plan de Mejora y Seguimiento"/>
      <sheetName val="Tablas"/>
    </sheetNames>
    <sheetDataSet>
      <sheetData sheetId="0"/>
      <sheetData sheetId="1"/>
      <sheetData sheetId="2">
        <row r="2">
          <cell r="N2" t="str">
            <v>ESTRATÉGICO</v>
          </cell>
        </row>
        <row r="3">
          <cell r="N3" t="str">
            <v>CLIENTE ASISTENCIAL</v>
          </cell>
        </row>
        <row r="4">
          <cell r="N4" t="str">
            <v>DIRECCIONAMIENTO Y GERENCIA</v>
          </cell>
        </row>
        <row r="5">
          <cell r="N5" t="str">
            <v>TALENTO HUMANO</v>
          </cell>
        </row>
        <row r="6">
          <cell r="N6" t="str">
            <v>AMBIENTE FÍSICO</v>
          </cell>
        </row>
        <row r="7">
          <cell r="N7" t="str">
            <v>GESTIÓN DE LA TECNOLOGÍA</v>
          </cell>
        </row>
        <row r="8">
          <cell r="N8" t="str">
            <v>GESTIÓN DE LA INFORMACIÓN</v>
          </cell>
        </row>
        <row r="9">
          <cell r="N9" t="str">
            <v>COMITÉ TÉCNICO</v>
          </cell>
        </row>
        <row r="10">
          <cell r="N10" t="str">
            <v>COMITÉ CALIDAD Y SEGURIDAD - EAC</v>
          </cell>
        </row>
        <row r="11">
          <cell r="N11" t="str">
            <v>COMITÉ VIGILANCIA EPIDEMIOLÓGICA</v>
          </cell>
        </row>
        <row r="12">
          <cell r="N12" t="str">
            <v>COMITÉ HISTORIA CLÍNICA</v>
          </cell>
        </row>
        <row r="13">
          <cell r="N13" t="str">
            <v>COMITÉ DE PyP</v>
          </cell>
        </row>
        <row r="14">
          <cell r="N14" t="str">
            <v>COMITÉ DE EMERGENCIAS</v>
          </cell>
        </row>
        <row r="15">
          <cell r="N15"/>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1 (ENERO-SEPT 1998)"/>
      <sheetName val="FORMATO 2 (OCT-DIC 1998)"/>
      <sheetName val="ENER-SEPT"/>
      <sheetName val="OCT-DIC"/>
      <sheetName val="ACTIVIDADES"/>
      <sheetName val="Listados"/>
      <sheetName val="Listado"/>
      <sheetName val="Hoja1"/>
      <sheetName val="Listas Desplegables"/>
      <sheetName val="INGRESO DE DATOS"/>
      <sheetName val="FORMATO_1_(ENERO-SEPT_1998)"/>
      <sheetName val="FORMATO_2_(OCT-DIC_1998)"/>
    </sheetNames>
    <sheetDataSet>
      <sheetData sheetId="0" refreshError="1"/>
      <sheetData sheetId="1" refreshError="1"/>
      <sheetData sheetId="2" refreshError="1"/>
      <sheetData sheetId="3" refreshError="1">
        <row r="1">
          <cell r="B1" t="str">
            <v>Nombre</v>
          </cell>
        </row>
        <row r="3">
          <cell r="B3" t="str">
            <v>CENTRO DE ACTIVIDAD NO EXISTE!!!</v>
          </cell>
        </row>
        <row r="4">
          <cell r="B4" t="str">
            <v>GERENCIA AUXILIAR</v>
          </cell>
        </row>
        <row r="5">
          <cell r="B5" t="str">
            <v>CENTRO DE ACTIVIDAD NO EXISTE!!!</v>
          </cell>
        </row>
        <row r="6">
          <cell r="B6" t="str">
            <v>GERENCIA DE PLANEACIÓN</v>
          </cell>
        </row>
        <row r="7">
          <cell r="B7" t="str">
            <v>CENTRO DE ACTIVIDAD NO EXISTE!!!</v>
          </cell>
        </row>
        <row r="8">
          <cell r="B8" t="str">
            <v>DIRECCION DE CONTROL INTERNO</v>
          </cell>
        </row>
        <row r="9">
          <cell r="B9" t="str">
            <v>CENTRO DE ACTIVIDAD NO EXISTE!!!</v>
          </cell>
        </row>
        <row r="10">
          <cell r="B10" t="str">
            <v>UNIDAD DE AUDITORIA</v>
          </cell>
        </row>
        <row r="11">
          <cell r="B11" t="str">
            <v>CENTRO DE ACTIVIDAD NO EXISTE!!!</v>
          </cell>
        </row>
        <row r="12">
          <cell r="B12" t="str">
            <v>GERENCIA COMERCIAL</v>
          </cell>
        </row>
        <row r="13">
          <cell r="B13" t="str">
            <v>CENTRO DE ACTIVIDAD NO EXISTE!!!</v>
          </cell>
        </row>
        <row r="14">
          <cell r="B14" t="str">
            <v>SUBGERENCIA MAYORISTAS</v>
          </cell>
        </row>
        <row r="15">
          <cell r="B15" t="str">
            <v>CENTRO DE ACTIVIDAD NO EXISTE!!!</v>
          </cell>
        </row>
        <row r="16">
          <cell r="B16" t="str">
            <v>SUBGERENCIA MERCADEO</v>
          </cell>
        </row>
        <row r="17">
          <cell r="B17" t="str">
            <v>GRUPO DE  INVESTIGACIÓN DE MERCADEO</v>
          </cell>
        </row>
        <row r="18">
          <cell r="B18" t="str">
            <v>GRUPO SERVICIOS BÁSICOS Y COMPLEMENTARIOS</v>
          </cell>
        </row>
        <row r="19">
          <cell r="B19" t="str">
            <v>SERVICIOS TELECOMUNICACIONES</v>
          </cell>
        </row>
        <row r="20">
          <cell r="B20" t="str">
            <v>GRUPO DE COMUNICACIÓN COMERCIAL</v>
          </cell>
        </row>
        <row r="21">
          <cell r="B21" t="str">
            <v>CENTRO DE ACTIVIDAD NO EXISTE!!!</v>
          </cell>
        </row>
        <row r="22">
          <cell r="B22" t="str">
            <v>SUBGERENCIA GRANDES CLIENTES</v>
          </cell>
        </row>
        <row r="23">
          <cell r="B23" t="str">
            <v>ÁREA INDUSTRIAS</v>
          </cell>
        </row>
        <row r="24">
          <cell r="B24" t="str">
            <v>ÁREA FINANCIERAS</v>
          </cell>
        </row>
        <row r="25">
          <cell r="B25" t="str">
            <v>ÁREA COMERCIO Y SERVICIOS</v>
          </cell>
        </row>
        <row r="26">
          <cell r="B26" t="str">
            <v>ÁREA COMPRAS ENERGÍA</v>
          </cell>
        </row>
        <row r="27">
          <cell r="B27" t="str">
            <v>CENTRO DE ACTIVIDAD NO EXISTE!!!</v>
          </cell>
        </row>
        <row r="28">
          <cell r="B28" t="str">
            <v>SUBGERENCIA CLIENTES RESIDENCIALES Y EMP.</v>
          </cell>
        </row>
        <row r="29">
          <cell r="B29" t="str">
            <v>ÁREA VENTAS</v>
          </cell>
        </row>
        <row r="30">
          <cell r="B30" t="str">
            <v>ÁREA SERVICIO AL CLIENTE</v>
          </cell>
        </row>
        <row r="31">
          <cell r="B31" t="str">
            <v>CENTRO DE ACTIVIDAD NO EXISTE!!!</v>
          </cell>
        </row>
        <row r="32">
          <cell r="B32" t="str">
            <v>EQUIPO ATENCIÓN CLIENTES DIFERENTES ZONAS</v>
          </cell>
        </row>
        <row r="33">
          <cell r="B33" t="str">
            <v>CENTRO DE ATENCIÓN DE LLAMADAS</v>
          </cell>
        </row>
        <row r="34">
          <cell r="B34" t="str">
            <v>GESTIÓN CARTERA</v>
          </cell>
        </row>
        <row r="35">
          <cell r="B35" t="str">
            <v>QUEJAS</v>
          </cell>
        </row>
        <row r="36">
          <cell r="B36" t="str">
            <v>CENTRO DE ACTIVIDAD NO EXISTE!!!</v>
          </cell>
        </row>
        <row r="37">
          <cell r="B37" t="str">
            <v>SUBGERENCIA  ADMÓN Y FINANZAS COMERCIAL</v>
          </cell>
        </row>
        <row r="38">
          <cell r="B38" t="str">
            <v>AREA  FINANZAS Y REGULACIÓN COMERCIAL</v>
          </cell>
        </row>
        <row r="39">
          <cell r="B39" t="str">
            <v>AREA GESTIÓN ORGANIZACIONAL COMERCIAL</v>
          </cell>
        </row>
        <row r="40">
          <cell r="B40" t="str">
            <v>AREA  FACTURACIÓN</v>
          </cell>
        </row>
        <row r="41">
          <cell r="B41" t="str">
            <v>AREA OPERATIVA COMERCIAL</v>
          </cell>
        </row>
        <row r="42">
          <cell r="B42" t="str">
            <v>CTIU</v>
          </cell>
        </row>
        <row r="43">
          <cell r="B43" t="str">
            <v>LECTURA Y REPARTICIÓN</v>
          </cell>
        </row>
        <row r="44">
          <cell r="B44" t="str">
            <v>CONTROL INSTALACIONES</v>
          </cell>
        </row>
        <row r="45">
          <cell r="B45" t="str">
            <v>GRUPO TRANSPORTE</v>
          </cell>
        </row>
        <row r="46">
          <cell r="B46" t="str">
            <v>CENTRO DE ACTIVIDAD NO EXISTE!!!</v>
          </cell>
        </row>
        <row r="47">
          <cell r="B47" t="str">
            <v>GERENCIA GENERAL</v>
          </cell>
        </row>
        <row r="48">
          <cell r="B48" t="str">
            <v>CENTRO DE ACTIVIDAD NO EXISTE!!!</v>
          </cell>
        </row>
        <row r="49">
          <cell r="B49" t="str">
            <v>GRUPO DE TRANSFORMACIÓN INTERNA</v>
          </cell>
        </row>
        <row r="50">
          <cell r="B50" t="str">
            <v>CENTRO DE ACTIVIDAD NO EXISTE!!!</v>
          </cell>
        </row>
        <row r="51">
          <cell r="B51" t="str">
            <v>DIRECCION PLANEACION</v>
          </cell>
        </row>
        <row r="52">
          <cell r="B52" t="str">
            <v>CENTRO DE ACTIVIDAD NO EXISTE!!!</v>
          </cell>
        </row>
        <row r="53">
          <cell r="B53" t="str">
            <v>UNIDAD COMUNICAC. Y REL. CORPORATIVAS</v>
          </cell>
        </row>
        <row r="54">
          <cell r="B54" t="str">
            <v>CENTRO DE ACTIVIDAD NO EXISTE!!!</v>
          </cell>
        </row>
        <row r="55">
          <cell r="B55" t="str">
            <v>GERENCIA DE AGUAS</v>
          </cell>
        </row>
        <row r="56">
          <cell r="B56" t="str">
            <v>PLAN DESARROLLO INFORMATICA . A. Y A.</v>
          </cell>
        </row>
        <row r="57">
          <cell r="B57" t="str">
            <v>PLANEACIÓN AGUAS</v>
          </cell>
        </row>
        <row r="58">
          <cell r="B58" t="str">
            <v>CENTRO DE ACTIVIDAD NO EXISTE!!!</v>
          </cell>
        </row>
        <row r="59">
          <cell r="B59" t="str">
            <v>UNIDAD CAPACITACION ACUEDUCTO Y ALCANT.</v>
          </cell>
        </row>
        <row r="60">
          <cell r="B60" t="str">
            <v>CENTRO DE ACTIVIDAD NO EXISTE!!!</v>
          </cell>
        </row>
        <row r="61">
          <cell r="B61" t="str">
            <v>SUBGERENCIA NUEVOS NEGOCIOS</v>
          </cell>
        </row>
        <row r="62">
          <cell r="B62" t="str">
            <v>CENTRO DE ACTIVIDAD NO EXISTE!!!</v>
          </cell>
        </row>
        <row r="63">
          <cell r="B63" t="str">
            <v>SUBGERENCIA ACUEDUCTO</v>
          </cell>
        </row>
        <row r="64">
          <cell r="B64" t="str">
            <v>INVESTIGACIÓN Y DESARROLLO ACUEDUCTO</v>
          </cell>
        </row>
        <row r="65">
          <cell r="B65" t="str">
            <v>CONTROL CALIDAD AGUAS</v>
          </cell>
        </row>
        <row r="66">
          <cell r="B66" t="str">
            <v>INFORMACIÓN AL CLIENTE</v>
          </cell>
        </row>
        <row r="67">
          <cell r="B67" t="str">
            <v>CENTRO DE ACTIVIDAD NO EXISTE!!!</v>
          </cell>
        </row>
        <row r="68">
          <cell r="B68" t="str">
            <v>ÁREA OPERACIÓN ACTO. SISTEMA INTERCONECTADO</v>
          </cell>
        </row>
        <row r="69">
          <cell r="B69" t="str">
            <v>DESPACHO ACUEDUCTO</v>
          </cell>
        </row>
        <row r="70">
          <cell r="B70" t="str">
            <v>OPERACIÓN, SUPERV., INSTAL. Y GESTIÓN AMBIENTAL</v>
          </cell>
        </row>
        <row r="71">
          <cell r="B71" t="str">
            <v>CENTRO DE CONTROL ACUEDUCTO</v>
          </cell>
        </row>
        <row r="72">
          <cell r="B72" t="str">
            <v>OPERACIÓN, SUPERVISIÓN, INSTALACIÓN AGUA TRATADA</v>
          </cell>
        </row>
        <row r="73">
          <cell r="B73" t="str">
            <v>ENERGÍA BOMBEOS DE CAPTACIÓN</v>
          </cell>
        </row>
        <row r="74">
          <cell r="B74" t="str">
            <v>ENERGÍA BOMBEOS DE DISTRIBUCIÓN</v>
          </cell>
        </row>
        <row r="75">
          <cell r="B75" t="str">
            <v>CENTRO DE ACTIVIDAD NO EXISTE!!!</v>
          </cell>
        </row>
        <row r="76">
          <cell r="B76" t="str">
            <v>ÁREA POTABILIZACIÓN AGUA SISTEMA INTERCONECTADO</v>
          </cell>
        </row>
        <row r="77">
          <cell r="B77" t="str">
            <v>CENTRO DE ACTIVIDAD NO EXISTE!!!</v>
          </cell>
        </row>
        <row r="78">
          <cell r="B78" t="str">
            <v>ENERGÍA PLANTAS DE TRATAMIENTO</v>
          </cell>
        </row>
        <row r="79">
          <cell r="B79" t="str">
            <v>CENTRO DE ACTIVIDAD NO EXISTE!!!</v>
          </cell>
        </row>
        <row r="80">
          <cell r="B80" t="str">
            <v>ÁREA INGENIERÍA SISTEMA INTERCONECTADO</v>
          </cell>
        </row>
        <row r="81">
          <cell r="B81" t="str">
            <v>LOGÍSTICA, PROYECTOS Y ANÁLISIS TÉCNICO</v>
          </cell>
        </row>
        <row r="82">
          <cell r="B82" t="str">
            <v>EQUIPOS ELECTROMECANICOS</v>
          </cell>
        </row>
        <row r="83">
          <cell r="B83" t="str">
            <v>OBRAS CIVILES Y CONDUCCIONES</v>
          </cell>
        </row>
        <row r="84">
          <cell r="B84" t="str">
            <v>CENTRO DE ACTIVIDAD NO EXISTE!!!</v>
          </cell>
        </row>
        <row r="85">
          <cell r="B85" t="str">
            <v>ÁREA SISTEMAS INDEPENDIENTES AGUAS</v>
          </cell>
        </row>
        <row r="86">
          <cell r="B86" t="str">
            <v>HABILITACIÓN VIVIENDA, CORREGIMIENTOS Y VEREDAS</v>
          </cell>
        </row>
        <row r="87">
          <cell r="B87" t="str">
            <v>SERVICIO DE INGENIERÍA Y LOGÍSTICA</v>
          </cell>
        </row>
        <row r="88">
          <cell r="B88" t="str">
            <v>SISTEMA CALDAS</v>
          </cell>
        </row>
        <row r="89">
          <cell r="B89" t="str">
            <v>SISTEMA BARBOSA</v>
          </cell>
        </row>
        <row r="90">
          <cell r="B90" t="str">
            <v>SISTEMA SAN ANTONIO DE PRADO</v>
          </cell>
        </row>
        <row r="91">
          <cell r="B91" t="str">
            <v>SISTEMA SAN CRISTOBAL</v>
          </cell>
        </row>
        <row r="92">
          <cell r="B92" t="str">
            <v>SISTEMA PALMITAS</v>
          </cell>
        </row>
        <row r="93">
          <cell r="B93" t="str">
            <v>CENTRO DE ACTIVIDAD NO EXISTE!!!</v>
          </cell>
        </row>
        <row r="94">
          <cell r="B94" t="str">
            <v>ÁREA DISTRIBUCIÓN ACUEDUCTO ZONA SUR</v>
          </cell>
        </row>
        <row r="95">
          <cell r="B95" t="str">
            <v>GESTIÓN PROYECTOS ACUEDUCTO ZONA SUR</v>
          </cell>
        </row>
        <row r="96">
          <cell r="B96" t="str">
            <v>GESTIÓN CLIENTES ACUEDUCTO ZONA SUR</v>
          </cell>
        </row>
        <row r="97">
          <cell r="B97" t="str">
            <v>INVESTIGACIÓN Y CONTROL PÉRDIDAS ACTO ZONA SUR</v>
          </cell>
        </row>
        <row r="98">
          <cell r="B98" t="str">
            <v>OPERACIÓN Y MTTO DISTRIBUCIÓN ACTO ZONA SUR</v>
          </cell>
        </row>
        <row r="99">
          <cell r="B99" t="str">
            <v>CENTRO DE ACTIVIDAD NO EXISTE!!!</v>
          </cell>
        </row>
        <row r="100">
          <cell r="B100" t="str">
            <v>ÁREA DISTRIBUCIÓN ACUEDUCTO ZONA NORTE</v>
          </cell>
        </row>
        <row r="101">
          <cell r="B101" t="str">
            <v>GESTIÓN PROYECTOS ACUEDUCTO ZONA NORTE</v>
          </cell>
        </row>
        <row r="102">
          <cell r="B102" t="str">
            <v>GESTIÓN CLIENTES ACUEDUCTO ZONA NORTE</v>
          </cell>
        </row>
        <row r="103">
          <cell r="B103" t="str">
            <v>INVEST. Y CONTROL PÉRDIDASACUEDUCTO ZONA NORTE</v>
          </cell>
        </row>
        <row r="104">
          <cell r="B104" t="str">
            <v>OPERACIÓN Y MTTO DISTRIBUCIÓN ACTO ZONA NORTE</v>
          </cell>
        </row>
        <row r="105">
          <cell r="B105" t="str">
            <v>CENTRO DE ACTIVIDAD NO EXISTE!!!</v>
          </cell>
        </row>
        <row r="106">
          <cell r="B106" t="str">
            <v>ÁREA DISTRIBUCIÓN ACUEDUCTO ZONA CENTRO</v>
          </cell>
        </row>
        <row r="107">
          <cell r="B107" t="str">
            <v>GESTIÓN PROYECTOS ACUEDUCTO ZONA CENTRO</v>
          </cell>
        </row>
        <row r="108">
          <cell r="B108" t="str">
            <v>GESTIÓN CLIENTES ACUEDUCTO ZONA CENTRO</v>
          </cell>
        </row>
        <row r="109">
          <cell r="B109" t="str">
            <v>INVEST. Y CONTROL PÉRDIDASACTO ZONA CENTRO</v>
          </cell>
        </row>
        <row r="110">
          <cell r="B110" t="str">
            <v>OPERACIÓN Y MTTO DISTRIBUCIÓN ACTO ZONA CENTRO</v>
          </cell>
        </row>
        <row r="111">
          <cell r="B111" t="str">
            <v>CENTRO DE ACTIVIDAD NO EXISTE!!!</v>
          </cell>
        </row>
        <row r="112">
          <cell r="B112" t="str">
            <v>MEDIDORES ZONA CENTRO</v>
          </cell>
        </row>
        <row r="113">
          <cell r="B113" t="str">
            <v>CENTRO DE ACTIVIDAD NO EXISTE!!!</v>
          </cell>
        </row>
        <row r="114">
          <cell r="B114" t="str">
            <v>SUBGERENCIA AGUAS RESIDUALES</v>
          </cell>
        </row>
        <row r="115">
          <cell r="B115" t="str">
            <v>INVESTIGACIÓN Y DESARROLLO AGUAS RESIDUALES</v>
          </cell>
        </row>
        <row r="116">
          <cell r="B116" t="str">
            <v>CENTRO DE ACTIVIDAD NO EXISTE!!!</v>
          </cell>
        </row>
        <row r="117">
          <cell r="B117" t="str">
            <v>ÁREA TRATAMIENTO AGUAS RESIDUALES</v>
          </cell>
        </row>
        <row r="118">
          <cell r="B118" t="str">
            <v>OPERACIÓN PLANTAS AGUAS RESIDUALES</v>
          </cell>
        </row>
        <row r="119">
          <cell r="B119" t="str">
            <v>INVESTIGACIÓN Y CONTROL PROCESOS</v>
          </cell>
        </row>
        <row r="120">
          <cell r="B120" t="str">
            <v>MANTENIMIENTO AGUAS RESIDUALES</v>
          </cell>
        </row>
        <row r="121">
          <cell r="B121" t="str">
            <v>PROYECTOS PLANTAS DE TRATAMIENTO</v>
          </cell>
        </row>
        <row r="122">
          <cell r="B122" t="str">
            <v>CENTRO DE ACTIVIDAD NO EXISTE!!!</v>
          </cell>
        </row>
        <row r="123">
          <cell r="B123" t="str">
            <v>ÁREA RECOLECCIÓN AGUAS RESIDUALES ZONA SUR</v>
          </cell>
        </row>
        <row r="124">
          <cell r="B124" t="str">
            <v>GESTIÓN PROYECTOS RECOLECCIÓN ZONA SUR</v>
          </cell>
        </row>
        <row r="125">
          <cell r="B125" t="str">
            <v>GESTIÓN CLIENTES RECOLECCIÓN ZONA SUR</v>
          </cell>
        </row>
        <row r="126">
          <cell r="B126" t="str">
            <v>INVESTIGACIÓN Y CONTROL RECOLECCIÓN ZONA SUR</v>
          </cell>
        </row>
        <row r="127">
          <cell r="B127" t="str">
            <v>OPERACIÓN Y MTTO RECOLECCIÓN ZONA SUR</v>
          </cell>
        </row>
        <row r="128">
          <cell r="B128" t="str">
            <v>CENTRO DE ACTIVIDAD NO EXISTE!!!</v>
          </cell>
        </row>
        <row r="129">
          <cell r="B129" t="str">
            <v>ÁREA RECOLECCIÓN AGUAS RESIDUALES ZONA NORTE</v>
          </cell>
        </row>
        <row r="130">
          <cell r="B130" t="str">
            <v>GESTIÓN PROYECTOS RECOLECCIÓN ZONA NORTE</v>
          </cell>
        </row>
        <row r="131">
          <cell r="B131" t="str">
            <v>GESTIÓN CLIENTES RECOLECCIÓN ZONA NORTE</v>
          </cell>
        </row>
        <row r="132">
          <cell r="B132" t="str">
            <v>INVESTIGACIÓN Y CONTROL RECOLECCIÓN ZONA NORTE</v>
          </cell>
        </row>
        <row r="133">
          <cell r="B133" t="str">
            <v>OPERACIÓN Y MTTO RECOLECCIÓN ZONA NORTE</v>
          </cell>
        </row>
        <row r="134">
          <cell r="B134" t="str">
            <v>CENTRO DE ACTIVIDAD NO EXISTE!!!</v>
          </cell>
        </row>
        <row r="135">
          <cell r="B135" t="str">
            <v>ÁREA RECOLECCIÓN AGUAS RESIDUALES ZONA CENTRO</v>
          </cell>
        </row>
        <row r="136">
          <cell r="B136" t="str">
            <v>GESTIÓN PROYECTOS RECOLECCIÓN ZONA CENTRO</v>
          </cell>
        </row>
        <row r="137">
          <cell r="B137" t="str">
            <v>GESTIÓN CLIENTES RECOLECCIÓN ZONA CENTRO</v>
          </cell>
        </row>
        <row r="138">
          <cell r="B138" t="str">
            <v>INVESTIGACIÓN Y CONTROL RECOLECCIÓN ZONA CENTRO</v>
          </cell>
        </row>
        <row r="139">
          <cell r="B139" t="str">
            <v>OPERACIÓN Y MTTO RECOLECCIÓN ZONA CENTRO</v>
          </cell>
        </row>
        <row r="140">
          <cell r="B140" t="str">
            <v>PAVIMENTOS</v>
          </cell>
        </row>
        <row r="141">
          <cell r="B141" t="str">
            <v>CENTRO DE ACTIVIDAD NO EXISTE!!!</v>
          </cell>
        </row>
        <row r="142">
          <cell r="B142" t="str">
            <v>SUBGERENCIA DE ADMON Y FINANZAS AGUAS</v>
          </cell>
        </row>
        <row r="143">
          <cell r="B143" t="str">
            <v>CENTRO DE ACTIVIDAD NO EXISTE!!!</v>
          </cell>
        </row>
        <row r="144">
          <cell r="B144" t="str">
            <v>ÁREA FINANZAS AGUAS</v>
          </cell>
        </row>
        <row r="145">
          <cell r="B145" t="str">
            <v>CENTRO DE ACTIVIDAD NO EXISTE!!!</v>
          </cell>
        </row>
        <row r="146">
          <cell r="B146" t="str">
            <v>ÁREA GESTIÓN ORGANIZACIONAL AGUAS</v>
          </cell>
        </row>
        <row r="147">
          <cell r="B147" t="str">
            <v>CAPACITACIÓN AGUAS</v>
          </cell>
        </row>
        <row r="148">
          <cell r="B148" t="str">
            <v>CENTRO DE ACTIVIDAD NO EXISTE!!!</v>
          </cell>
        </row>
        <row r="149">
          <cell r="B149" t="str">
            <v>ÁREA INFORMÁTICA AGUAS</v>
          </cell>
        </row>
        <row r="150">
          <cell r="B150" t="str">
            <v>CENTRO DE ACTIVIDAD NO EXISTE!!!</v>
          </cell>
        </row>
        <row r="151">
          <cell r="B151" t="str">
            <v>GERENCIA GENERACIÓN ENERGÍA</v>
          </cell>
        </row>
        <row r="152">
          <cell r="B152" t="str">
            <v>CENTRO DE ACTIVIDAD NO EXISTE!!!</v>
          </cell>
        </row>
        <row r="153">
          <cell r="B153" t="str">
            <v>SUBGERENCIA PLANEACIÓN GENERACIÓN</v>
          </cell>
        </row>
        <row r="154">
          <cell r="B154" t="str">
            <v>CENTRO DE ACTIVIDAD NO EXISTE!!!</v>
          </cell>
        </row>
        <row r="155">
          <cell r="B155" t="str">
            <v>EST.Y RESCATE ARQUEOLOGICO</v>
          </cell>
        </row>
        <row r="156">
          <cell r="B156" t="str">
            <v>ESTUDIOS SOCIOECONOMICOS</v>
          </cell>
        </row>
        <row r="157">
          <cell r="B157" t="str">
            <v>ESTUDIO PLANTA TERMICA</v>
          </cell>
        </row>
        <row r="158">
          <cell r="B158" t="str">
            <v>CENTRO DE ACTIVIDAD NO EXISTE!!!</v>
          </cell>
        </row>
        <row r="159">
          <cell r="B159" t="str">
            <v>ESTUDIOS EMPRESARIALES</v>
          </cell>
        </row>
        <row r="160">
          <cell r="B160" t="str">
            <v>ESTUDIOS NUEVOS NEGOCIOS</v>
          </cell>
        </row>
        <row r="161">
          <cell r="B161" t="str">
            <v>CENTRO DE ACTIVIDAD NO EXISTE!!!</v>
          </cell>
        </row>
        <row r="162">
          <cell r="B162" t="str">
            <v>ESTUDIOS TERMO CESAR</v>
          </cell>
        </row>
        <row r="163">
          <cell r="B163" t="str">
            <v>CENTRO DE ACTIVIDAD NO EXISTE!!!</v>
          </cell>
        </row>
        <row r="164">
          <cell r="B164" t="str">
            <v>ESTUDIOS RIO SAMANA NORTE</v>
          </cell>
        </row>
        <row r="165">
          <cell r="B165" t="str">
            <v>ESTUDIOS SAN BARTOLOME</v>
          </cell>
        </row>
        <row r="166">
          <cell r="B166" t="str">
            <v>ESTUDIOS SAN ANDRES</v>
          </cell>
        </row>
        <row r="167">
          <cell r="B167" t="str">
            <v>CENTRO DE ACTIVIDAD NO EXISTE!!!</v>
          </cell>
        </row>
        <row r="168">
          <cell r="B168" t="str">
            <v>FACTIBILIDAD PENDERISCO MURRI</v>
          </cell>
        </row>
        <row r="169">
          <cell r="B169" t="str">
            <v>PREFACTIBILIDAD SAN JORGE</v>
          </cell>
        </row>
        <row r="170">
          <cell r="B170" t="str">
            <v>CENTRO DE ACTIVIDAD NO EXISTE!!!</v>
          </cell>
        </row>
        <row r="171">
          <cell r="B171" t="str">
            <v>FACTIBILIDAD HONDA Y OVEJAS</v>
          </cell>
        </row>
        <row r="172">
          <cell r="B172" t="str">
            <v>GASTOS FINANCIEROS NECHI</v>
          </cell>
        </row>
        <row r="173">
          <cell r="B173" t="str">
            <v>GASTOS FINANCIEROS PENDERISCO-MURRI</v>
          </cell>
        </row>
        <row r="174">
          <cell r="B174" t="str">
            <v>EST. OPTIMIZAC. SIST. GUADALUPE</v>
          </cell>
        </row>
        <row r="175">
          <cell r="B175" t="str">
            <v>EST. ISA COLCIENCIAS</v>
          </cell>
        </row>
        <row r="176">
          <cell r="B176" t="str">
            <v>GASTOS FINANCIEROS RIACHON</v>
          </cell>
        </row>
        <row r="177">
          <cell r="B177" t="str">
            <v>ESTUDIOS RIO ARMA</v>
          </cell>
        </row>
        <row r="178">
          <cell r="B178" t="str">
            <v>ESTUDIOS FACTIBIL RIACHON</v>
          </cell>
        </row>
        <row r="179">
          <cell r="B179" t="str">
            <v>LEVANTAMIENTO AEROFOTOGRAMETRICO</v>
          </cell>
        </row>
        <row r="180">
          <cell r="B180" t="str">
            <v>ESTUDIO FACTIBILIDAD GUAICO</v>
          </cell>
        </row>
        <row r="181">
          <cell r="B181" t="str">
            <v>ESTUDIO FACTIBILIDAD NECHI</v>
          </cell>
        </row>
        <row r="182">
          <cell r="B182" t="str">
            <v>PREFACTIBILIDAD PENDERISCO MURRI</v>
          </cell>
        </row>
        <row r="183">
          <cell r="B183" t="str">
            <v>ESTUDIOS VARIOS DE ORDENACIÓN</v>
          </cell>
        </row>
        <row r="184">
          <cell r="B184" t="str">
            <v>QUEBRADA HONDA Y OVEJAS</v>
          </cell>
        </row>
        <row r="185">
          <cell r="B185" t="str">
            <v>CENTRO DE ACTIVIDAD NO EXISTE!!!</v>
          </cell>
        </row>
        <row r="186">
          <cell r="B186" t="str">
            <v>ESTUDIOS ERMITANO</v>
          </cell>
        </row>
        <row r="187">
          <cell r="B187" t="str">
            <v>CENTRO DE ACTIVIDAD NO EXISTE!!!</v>
          </cell>
        </row>
        <row r="188">
          <cell r="B188" t="str">
            <v>ESTUDIOS PORCE III</v>
          </cell>
        </row>
        <row r="189">
          <cell r="B189" t="str">
            <v>CENTRO DE ACTIVIDAD NO EXISTE!!!</v>
          </cell>
        </row>
        <row r="190">
          <cell r="B190" t="str">
            <v>ESTUDIOS DE FACTIBILIDAD</v>
          </cell>
        </row>
        <row r="191">
          <cell r="B191" t="str">
            <v>CENTRO DE ACTIVIDAD NO EXISTE!!!</v>
          </cell>
        </row>
        <row r="192">
          <cell r="B192" t="str">
            <v>AJ POR INFL ESTUDIOS</v>
          </cell>
        </row>
        <row r="193">
          <cell r="B193" t="str">
            <v>AJ POR INFL ESTUDIOS</v>
          </cell>
        </row>
        <row r="194">
          <cell r="B194" t="str">
            <v>AJ POR INFL ESTUDIOS</v>
          </cell>
        </row>
        <row r="195">
          <cell r="B195" t="str">
            <v>AJ POR INFL ESTUDIOS</v>
          </cell>
        </row>
        <row r="196">
          <cell r="B196" t="str">
            <v>CENTRO DE ACTIVIDAD NO EXISTE!!!</v>
          </cell>
        </row>
        <row r="197">
          <cell r="B197" t="str">
            <v>SUBGERENCIA TRANSACCIONES ENERGÍA</v>
          </cell>
        </row>
        <row r="198">
          <cell r="B198" t="str">
            <v>CENTRO DE ACTIVIDAD NO EXISTE!!!</v>
          </cell>
        </row>
        <row r="199">
          <cell r="B199" t="str">
            <v>ÁREA GESTIÓN LARGO PLAZO</v>
          </cell>
        </row>
        <row r="200">
          <cell r="B200" t="str">
            <v>CENTRO DE ACTIVIDAD NO EXISTE!!!</v>
          </cell>
        </row>
        <row r="201">
          <cell r="B201" t="str">
            <v>ÁREA GESTIÓN BOLSA ENERGÍA</v>
          </cell>
        </row>
        <row r="202">
          <cell r="B202" t="str">
            <v>CENTRO DE ACTIVIDAD NO EXISTE!!!</v>
          </cell>
        </row>
        <row r="203">
          <cell r="B203" t="str">
            <v>ÁREA PROYECTO PORCE II</v>
          </cell>
        </row>
        <row r="204">
          <cell r="B204" t="str">
            <v>CENTRO DE ACTIVIDAD NO EXISTE!!!</v>
          </cell>
        </row>
        <row r="205">
          <cell r="B205" t="str">
            <v>EQUIPOS PORCE II</v>
          </cell>
        </row>
        <row r="206">
          <cell r="B206" t="str">
            <v>CENTRO DE ACTIVIDAD NO EXISTE!!!</v>
          </cell>
        </row>
        <row r="207">
          <cell r="B207" t="str">
            <v>OBRAS CIVILES PORCE II</v>
          </cell>
        </row>
        <row r="208">
          <cell r="B208" t="str">
            <v>CENTRO DE ACTIVIDAD NO EXISTE!!!</v>
          </cell>
        </row>
        <row r="209">
          <cell r="B209" t="str">
            <v>SERVICIOS GENERALES PORCE II</v>
          </cell>
        </row>
        <row r="210">
          <cell r="B210" t="str">
            <v>CENTRO DE ACTIVIDAD NO EXISTE!!!</v>
          </cell>
        </row>
        <row r="211">
          <cell r="B211" t="str">
            <v>GESTIÓN AMBIENTAL PORCE II</v>
          </cell>
        </row>
        <row r="212">
          <cell r="B212" t="str">
            <v>CENTRO DE ACTIVIDAD NO EXISTE!!!</v>
          </cell>
        </row>
        <row r="213">
          <cell r="B213" t="str">
            <v>SUBGERENCIA DE PROYECTOS</v>
          </cell>
        </row>
        <row r="214">
          <cell r="B214" t="str">
            <v>CENTRO DE ACTIVIDAD NO EXISTE!!!</v>
          </cell>
        </row>
        <row r="215">
          <cell r="B215" t="str">
            <v>ÁREA PROYECTOS</v>
          </cell>
        </row>
        <row r="216">
          <cell r="B216" t="str">
            <v>MINICENTRALES DE GENERACIÓN</v>
          </cell>
        </row>
        <row r="217">
          <cell r="B217" t="str">
            <v>CICLO COMBINADO LA SIERRA</v>
          </cell>
        </row>
        <row r="218">
          <cell r="B218" t="str">
            <v>CENTRO DE ACTIVIDAD NO EXISTE!!!</v>
          </cell>
        </row>
        <row r="219">
          <cell r="B219" t="str">
            <v>ÁREA PROGRAMACIÓN Y CONTROL</v>
          </cell>
        </row>
        <row r="220">
          <cell r="B220" t="str">
            <v>CENTRO DE ACTIVIDAD NO EXISTE!!!</v>
          </cell>
        </row>
        <row r="221">
          <cell r="B221" t="str">
            <v>SUBGERENCIA OPERACIÓN GENERACIÓN</v>
          </cell>
        </row>
        <row r="222">
          <cell r="B222" t="str">
            <v>CENTRO DE ACTIVIDAD NO EXISTE!!!</v>
          </cell>
        </row>
        <row r="223">
          <cell r="B223" t="str">
            <v>CENTRO DE CONTROL GENERACIÓN</v>
          </cell>
        </row>
        <row r="224">
          <cell r="B224" t="str">
            <v>CENTRO DE ACTIVIDAD NO EXISTE!!!</v>
          </cell>
        </row>
        <row r="225">
          <cell r="B225" t="str">
            <v>ÁREA METROPOLITANA</v>
          </cell>
        </row>
        <row r="226">
          <cell r="B226" t="str">
            <v>OPERACIÓN ÁREA METROPOLITANA</v>
          </cell>
        </row>
        <row r="227">
          <cell r="B227" t="str">
            <v>CENTRO DE ACTIVIDAD NO EXISTE!!!</v>
          </cell>
        </row>
        <row r="228">
          <cell r="B228" t="str">
            <v>MANTENIMIENTO ÁREA METROPOLITANA</v>
          </cell>
        </row>
        <row r="229">
          <cell r="B229" t="str">
            <v>CENTRO DE ACTIVIDAD NO EXISTE!!!</v>
          </cell>
        </row>
        <row r="230">
          <cell r="B230" t="str">
            <v>SERVICIOS DE APOYO ÁREA METROPOLITANA</v>
          </cell>
        </row>
        <row r="231">
          <cell r="B231" t="str">
            <v>CENTRO DE ACTIVIDAD NO EXISTE!!!</v>
          </cell>
        </row>
        <row r="232">
          <cell r="B232" t="str">
            <v>ÁREA GUATAPÉ</v>
          </cell>
        </row>
        <row r="233">
          <cell r="B233" t="str">
            <v>OPERACION GUATAPÉ</v>
          </cell>
        </row>
        <row r="234">
          <cell r="B234" t="str">
            <v>CENTRO DE ACTIVIDAD NO EXISTE!!!</v>
          </cell>
        </row>
        <row r="235">
          <cell r="B235" t="str">
            <v>SERVICIOS DE APOYO GUATAPÉ</v>
          </cell>
        </row>
        <row r="236">
          <cell r="B236" t="str">
            <v>CENTRO DE ACTIVIDAD NO EXISTE!!!</v>
          </cell>
        </row>
        <row r="237">
          <cell r="B237" t="str">
            <v>MANTENIMIENTO ÁREA GUATAPÉ</v>
          </cell>
        </row>
        <row r="238">
          <cell r="B238" t="str">
            <v>CENTRO DE ACTIVIDAD NO EXISTE!!!</v>
          </cell>
        </row>
        <row r="239">
          <cell r="B239" t="str">
            <v>ÁREA INGENIERÍA</v>
          </cell>
        </row>
        <row r="240">
          <cell r="B240" t="str">
            <v>CENTRO DE ACTIVIDAD NO EXISTE!!!</v>
          </cell>
        </row>
        <row r="241">
          <cell r="B241" t="str">
            <v>CONTRATACIONES</v>
          </cell>
        </row>
        <row r="242">
          <cell r="B242" t="str">
            <v>CENTRO DE ACTIVIDAD NO EXISTE!!!</v>
          </cell>
        </row>
        <row r="243">
          <cell r="B243" t="str">
            <v>ADMINISTRACIÓN DEL MANTTO</v>
          </cell>
        </row>
        <row r="244">
          <cell r="B244" t="str">
            <v>CENTRO DE ACTIVIDAD NO EXISTE!!!</v>
          </cell>
        </row>
        <row r="245">
          <cell r="B245" t="str">
            <v>ANÁLISIS TÉCNICO</v>
          </cell>
        </row>
        <row r="246">
          <cell r="B246" t="str">
            <v>CENTRO DE ACTIVIDAD NO EXISTE!!!</v>
          </cell>
        </row>
        <row r="247">
          <cell r="B247" t="str">
            <v>PROYECTOS ESPECIALES</v>
          </cell>
        </row>
        <row r="248">
          <cell r="B248" t="str">
            <v>CENTRO DE ACTIVIDAD NO EXISTE!!!</v>
          </cell>
        </row>
        <row r="249">
          <cell r="B249" t="str">
            <v>CENTRAL TASAJERA</v>
          </cell>
        </row>
        <row r="250">
          <cell r="B250" t="str">
            <v>CENTRAL RIOGRANDE I</v>
          </cell>
        </row>
        <row r="251">
          <cell r="B251" t="str">
            <v>CENTRAL NIQUIA</v>
          </cell>
        </row>
        <row r="252">
          <cell r="B252" t="str">
            <v>CENTRO DE ACTIVIDAD NO EXISTE!!!</v>
          </cell>
        </row>
        <row r="253">
          <cell r="B253" t="str">
            <v>CENTRAL GUATAPÉ</v>
          </cell>
        </row>
        <row r="254">
          <cell r="B254" t="str">
            <v>CENTRAL PLAYAS</v>
          </cell>
        </row>
        <row r="255">
          <cell r="B255" t="str">
            <v>CENTRO DE ACTIVIDAD NO EXISTE!!!</v>
          </cell>
        </row>
        <row r="256">
          <cell r="B256" t="str">
            <v>TRONERAS</v>
          </cell>
        </row>
        <row r="257">
          <cell r="B257" t="str">
            <v>GUADALUPE III</v>
          </cell>
        </row>
        <row r="258">
          <cell r="B258" t="str">
            <v>GUADALUPE IV</v>
          </cell>
        </row>
        <row r="259">
          <cell r="B259" t="str">
            <v>MINICENTRALES PAJARITO Y DOLORES</v>
          </cell>
        </row>
        <row r="260">
          <cell r="B260" t="str">
            <v>PORCE II FUTURO</v>
          </cell>
        </row>
        <row r="261">
          <cell r="B261" t="str">
            <v>CENTRO DE ACTIVIDAD NO EXISTE!!!</v>
          </cell>
        </row>
        <row r="262">
          <cell r="B262" t="str">
            <v>ÁREA GUADALUPE</v>
          </cell>
        </row>
        <row r="263">
          <cell r="B263" t="str">
            <v>OPERACION ÁREA GUADALUPE</v>
          </cell>
        </row>
        <row r="264">
          <cell r="B264" t="str">
            <v>MANTENIMIENTO ÁREA GUADALUPE</v>
          </cell>
        </row>
        <row r="265">
          <cell r="B265" t="str">
            <v>SERVICIOS DE APOYO ÁREA GUADALUPE</v>
          </cell>
        </row>
        <row r="266">
          <cell r="B266" t="str">
            <v>CENTRO DE ACTIVIDAD NO EXISTE!!!</v>
          </cell>
        </row>
        <row r="267">
          <cell r="B267" t="str">
            <v>ÁREA LA SIERRA</v>
          </cell>
        </row>
        <row r="268">
          <cell r="B268" t="str">
            <v>CENTRO DE ACTIVIDAD NO EXISTE!!!</v>
          </cell>
        </row>
        <row r="269">
          <cell r="B269" t="str">
            <v>SUBGERENCIA AMBIENTAL</v>
          </cell>
        </row>
        <row r="270">
          <cell r="B270" t="str">
            <v>COORDINACIÓN AMBIENTAL</v>
          </cell>
        </row>
        <row r="271">
          <cell r="B271" t="str">
            <v>CENTRO DE ACTIVIDAD NO EXISTE!!!</v>
          </cell>
        </row>
        <row r="272">
          <cell r="B272" t="str">
            <v>GESTIÓN SOCIAL PORCE II</v>
          </cell>
        </row>
        <row r="273">
          <cell r="B273" t="str">
            <v>CENTRO DE ACTIVIDAD NO EXISTE!!!</v>
          </cell>
        </row>
        <row r="274">
          <cell r="B274" t="str">
            <v>ÁREA HIDROMETRIA E INSTRUMENTACIÓN</v>
          </cell>
        </row>
        <row r="275">
          <cell r="B275" t="str">
            <v>CENTRO DE ACTIVIDAD NO EXISTE!!!</v>
          </cell>
        </row>
        <row r="276">
          <cell r="B276" t="str">
            <v>INVERSIÓN HIDROMETRIA INSTRUM.</v>
          </cell>
        </row>
        <row r="277">
          <cell r="B277" t="str">
            <v>CENTRO DE ACTIVIDAD NO EXISTE!!!</v>
          </cell>
        </row>
        <row r="278">
          <cell r="B278" t="str">
            <v>ÁREA DE GESTIÓN AMBIENTAL</v>
          </cell>
        </row>
        <row r="279">
          <cell r="B279" t="str">
            <v>INVERSIONES AMBIENTALES</v>
          </cell>
        </row>
        <row r="280">
          <cell r="B280" t="str">
            <v>CENTRO DE ACTIVIDAD NO EXISTE!!!</v>
          </cell>
        </row>
        <row r="281">
          <cell r="B281" t="str">
            <v>ANTICIPOS OTROS PROGRAMAS DE GENERACION</v>
          </cell>
        </row>
        <row r="282">
          <cell r="B282" t="str">
            <v>CENTRO DE ACTIVIDAD NO EXISTE!!!</v>
          </cell>
        </row>
        <row r="283">
          <cell r="B283" t="str">
            <v>DEPTO MERCADEO</v>
          </cell>
        </row>
        <row r="284">
          <cell r="B284" t="str">
            <v>CENTRO DE ACTIVIDAD NO EXISTE!!!</v>
          </cell>
        </row>
        <row r="285">
          <cell r="B285" t="str">
            <v>SUBGERENCIA DE ADMON Y FINANZAS</v>
          </cell>
        </row>
        <row r="286">
          <cell r="B286" t="str">
            <v>CENTRO DE ACTIVIDAD NO EXISTE!!!</v>
          </cell>
        </row>
        <row r="287">
          <cell r="B287" t="str">
            <v>ÁREA DE FINANZAS GENERACIÓN</v>
          </cell>
        </row>
        <row r="288">
          <cell r="B288" t="str">
            <v>CENTRO DE ACTIVIDAD NO EXISTE!!!</v>
          </cell>
        </row>
        <row r="289">
          <cell r="B289" t="str">
            <v>ÁREA GESTIÓN ORGANIZACIONAL GENERACIÓN</v>
          </cell>
        </row>
        <row r="290">
          <cell r="B290" t="str">
            <v>CAPACITACIÓN GENERACIÓN ENERGÍA</v>
          </cell>
        </row>
        <row r="291">
          <cell r="B291" t="str">
            <v>CENTRO DE ACTIVIDAD NO EXISTE!!!</v>
          </cell>
        </row>
        <row r="292">
          <cell r="B292" t="str">
            <v>ÁREA DE INFORMÁTICA GENERACIÓN</v>
          </cell>
        </row>
        <row r="293">
          <cell r="B293" t="str">
            <v>CENTRO DE ACTIVIDAD NO EXISTE!!!</v>
          </cell>
        </row>
        <row r="294">
          <cell r="B294" t="str">
            <v>GERENCIA DE TELECOMUNICACIONES</v>
          </cell>
        </row>
        <row r="295">
          <cell r="B295" t="str">
            <v>GRUPO PROYECTOS TELECOMUNICACIONES</v>
          </cell>
        </row>
        <row r="296">
          <cell r="B296" t="str">
            <v>PROYECTO BOGOTA</v>
          </cell>
        </row>
        <row r="297">
          <cell r="B297" t="str">
            <v>CENTRO DE ACTIVIDAD NO EXISTE!!!</v>
          </cell>
        </row>
        <row r="298">
          <cell r="B298" t="str">
            <v>PLANEACION TELECOMUNICACIONES</v>
          </cell>
        </row>
        <row r="299">
          <cell r="B299" t="str">
            <v>SUBGERENCIA NUEVOS NEGOCIOS TELECOMUNICACIONES</v>
          </cell>
        </row>
        <row r="300">
          <cell r="B300" t="str">
            <v>CENTRO DE ACTIVIDAD NO EXISTE!!!</v>
          </cell>
        </row>
        <row r="301">
          <cell r="B301" t="str">
            <v>UNIDAD CAPACITACION TELECOMUNICACIONES</v>
          </cell>
        </row>
        <row r="302">
          <cell r="B302" t="str">
            <v>CULTURA DEL SERVICIO</v>
          </cell>
        </row>
        <row r="303">
          <cell r="B303" t="str">
            <v>CENTRO DE ACTIVIDAD NO EXISTE!!!</v>
          </cell>
        </row>
        <row r="304">
          <cell r="B304" t="str">
            <v>ESTUDIOS PARA DIF. PLAN MERCADEO</v>
          </cell>
        </row>
        <row r="305">
          <cell r="B305" t="str">
            <v>ESTUDIO VR AGREGADO TELEMATICA</v>
          </cell>
        </row>
        <row r="306">
          <cell r="B306" t="str">
            <v>ESTUDIO PROYECTO SATELITAL SIMON BOLIVAR</v>
          </cell>
        </row>
        <row r="307">
          <cell r="B307" t="str">
            <v>TELEFONIA OTRAS CIUDADES</v>
          </cell>
        </row>
        <row r="308">
          <cell r="B308" t="str">
            <v>VALORACION EMPRESA TELS. BUCARAMANGA</v>
          </cell>
        </row>
        <row r="309">
          <cell r="B309" t="str">
            <v>CENTRO DE ACTIVIDAD NO EXISTE!!!</v>
          </cell>
        </row>
        <row r="310">
          <cell r="B310" t="str">
            <v>SECCION CLIENTES</v>
          </cell>
        </row>
        <row r="311">
          <cell r="B311" t="str">
            <v>CENTRO DE ACTIVIDAD NO EXISTE!!!</v>
          </cell>
        </row>
        <row r="312">
          <cell r="B312" t="str">
            <v>SUBGERENCIA OPERATIVA TELECOMUNICACIONES</v>
          </cell>
        </row>
        <row r="313">
          <cell r="B313" t="str">
            <v>GESTIÓN DAÑOS</v>
          </cell>
        </row>
        <row r="314">
          <cell r="B314" t="str">
            <v>CENTRO DE ACTIVIDAD NO EXISTE!!!</v>
          </cell>
        </row>
        <row r="315">
          <cell r="B315" t="str">
            <v>ÁREA TELÉFONOS PÚBLICOS</v>
          </cell>
        </row>
        <row r="316">
          <cell r="B316" t="str">
            <v>LABORATORIO</v>
          </cell>
        </row>
        <row r="317">
          <cell r="B317" t="str">
            <v>GESTIÓN</v>
          </cell>
        </row>
        <row r="318">
          <cell r="B318" t="str">
            <v>CENTRO DE ACTIVIDAD NO EXISTE!!!</v>
          </cell>
        </row>
        <row r="319">
          <cell r="B319" t="str">
            <v>ÁREA RED DE DATOS</v>
          </cell>
        </row>
        <row r="320">
          <cell r="B320" t="str">
            <v>GESTIÓN DATOS</v>
          </cell>
        </row>
        <row r="321">
          <cell r="B321" t="str">
            <v>MULTINET</v>
          </cell>
        </row>
        <row r="322">
          <cell r="B322" t="str">
            <v>CENTRO DE ACTIVIDAD NO EXISTE!!!</v>
          </cell>
        </row>
        <row r="323">
          <cell r="B323" t="str">
            <v>ÁREA OPERATIVA ORIENTE</v>
          </cell>
        </row>
        <row r="324">
          <cell r="B324" t="str">
            <v>ACCESO</v>
          </cell>
        </row>
        <row r="325">
          <cell r="B325" t="str">
            <v>NODOS E INTERCONEXIÓN</v>
          </cell>
        </row>
        <row r="326">
          <cell r="B326" t="str">
            <v>PROYECTOS ESPECIALES</v>
          </cell>
        </row>
        <row r="327">
          <cell r="B327" t="str">
            <v>CENTRO DE ACTIVIDAD NO EXISTE!!!</v>
          </cell>
        </row>
        <row r="328">
          <cell r="B328" t="str">
            <v>ÁREA OPERATIVA NORTE</v>
          </cell>
        </row>
        <row r="329">
          <cell r="B329" t="str">
            <v>ACCESO SUBZONA 1</v>
          </cell>
        </row>
        <row r="330">
          <cell r="B330" t="str">
            <v>ACCESO SUBZONA 2</v>
          </cell>
        </row>
        <row r="331">
          <cell r="B331" t="str">
            <v>ACCESO SUBZONA 3</v>
          </cell>
        </row>
        <row r="332">
          <cell r="B332" t="str">
            <v xml:space="preserve">NODOS </v>
          </cell>
        </row>
        <row r="333">
          <cell r="B333" t="str">
            <v>CENTRO DE ACTIVIDAD NO EXISTE!!!</v>
          </cell>
        </row>
        <row r="334">
          <cell r="B334" t="str">
            <v>ÁREA OPERATIVA SUR</v>
          </cell>
        </row>
        <row r="335">
          <cell r="B335" t="str">
            <v>ACCESO SUBZONA 1</v>
          </cell>
        </row>
        <row r="336">
          <cell r="B336" t="str">
            <v>ACCESO SUBZONA 2</v>
          </cell>
        </row>
        <row r="337">
          <cell r="B337" t="str">
            <v>NODOS</v>
          </cell>
        </row>
        <row r="338">
          <cell r="B338" t="str">
            <v>CENTRO DE ACTIVIDAD NO EXISTE!!!</v>
          </cell>
        </row>
        <row r="339">
          <cell r="B339" t="str">
            <v>ÁREA SOPORTE OPERATIVO</v>
          </cell>
        </row>
        <row r="340">
          <cell r="B340" t="str">
            <v>INTERCONEXIÓN</v>
          </cell>
        </row>
        <row r="341">
          <cell r="B341" t="str">
            <v>CENTRO DE ACTIVIDAD NO EXISTE!!!</v>
          </cell>
        </row>
        <row r="342">
          <cell r="B342" t="str">
            <v>BUSCAPERSONAS</v>
          </cell>
        </row>
        <row r="343">
          <cell r="B343" t="str">
            <v>TRUNKING</v>
          </cell>
        </row>
        <row r="344">
          <cell r="B344" t="str">
            <v>INALAMBRICOS</v>
          </cell>
        </row>
        <row r="345">
          <cell r="B345" t="str">
            <v>AIRE ACONDICIONADO</v>
          </cell>
        </row>
        <row r="346">
          <cell r="B346" t="str">
            <v>ENERGÍA</v>
          </cell>
        </row>
        <row r="347">
          <cell r="B347" t="str">
            <v>CENTRO DE ACTIVIDAD NO EXISTE!!!</v>
          </cell>
        </row>
        <row r="348">
          <cell r="B348" t="str">
            <v>SUBGERENCIA TÉCNICA TELECOMUNICACIONES</v>
          </cell>
        </row>
        <row r="349">
          <cell r="B349" t="str">
            <v>NORMAS Y HOMOLOGACIÓN</v>
          </cell>
        </row>
        <row r="350">
          <cell r="B350" t="str">
            <v>CENTRO DE ACTIVIDAD NO EXISTE!!!</v>
          </cell>
        </row>
        <row r="351">
          <cell r="B351" t="str">
            <v>ÁREA INGENIERÍA DE PRODUCTOS</v>
          </cell>
        </row>
        <row r="352">
          <cell r="B352" t="str">
            <v>CENTRO DE ACTIVIDAD NO EXISTE!!!</v>
          </cell>
        </row>
        <row r="353">
          <cell r="B353" t="str">
            <v>PLATAFORMAS NAP OPERACIÓN</v>
          </cell>
        </row>
        <row r="354">
          <cell r="B354" t="str">
            <v>INTERNET DESARROLLO</v>
          </cell>
        </row>
        <row r="355">
          <cell r="B355" t="str">
            <v>INTERNET OPERACIÓN</v>
          </cell>
        </row>
        <row r="356">
          <cell r="B356" t="str">
            <v>RED INTELIGENTE DESARROLLO</v>
          </cell>
        </row>
        <row r="357">
          <cell r="B357" t="str">
            <v>RED INTELIGENTE OPERACIÓN</v>
          </cell>
        </row>
        <row r="358">
          <cell r="B358" t="str">
            <v>CENTRO DE ACTIVIDAD NO EXISTE!!!</v>
          </cell>
        </row>
        <row r="359">
          <cell r="B359" t="str">
            <v>ÁREA INGENIERÍA NODOS E INTERCONEXIÓN</v>
          </cell>
        </row>
        <row r="360">
          <cell r="B360" t="str">
            <v>INTERCONEXIÓN</v>
          </cell>
        </row>
        <row r="361">
          <cell r="B361" t="str">
            <v>NODOS</v>
          </cell>
        </row>
        <row r="362">
          <cell r="B362" t="str">
            <v>CENTRO DE ACTIVIDAD NO EXISTE!!!</v>
          </cell>
        </row>
        <row r="363">
          <cell r="B363" t="str">
            <v>ÁREA ASIGNACIONES</v>
          </cell>
        </row>
        <row r="364">
          <cell r="B364" t="str">
            <v>CENTRO DE ACTIVIDAD NO EXISTE!!!</v>
          </cell>
        </row>
        <row r="365">
          <cell r="B365" t="str">
            <v>ÁREA PROYECTOS ESPECIALES</v>
          </cell>
        </row>
        <row r="366">
          <cell r="B366" t="str">
            <v>ENTIDADES OFICIALES</v>
          </cell>
        </row>
        <row r="367">
          <cell r="B367" t="str">
            <v>EDIFICIOS Y URBANIZACIONES</v>
          </cell>
        </row>
        <row r="368">
          <cell r="B368" t="str">
            <v>CENTRO DE ACTIVIDAD NO EXISTE!!!</v>
          </cell>
        </row>
        <row r="369">
          <cell r="B369" t="str">
            <v>ÁREA CONTRATACIONES</v>
          </cell>
        </row>
        <row r="370">
          <cell r="B370" t="str">
            <v>CENTRO DE ACTIVIDAD NO EXISTE!!!</v>
          </cell>
        </row>
        <row r="371">
          <cell r="B371" t="str">
            <v>ÁREA INGENIERÍA ACCESO</v>
          </cell>
        </row>
        <row r="372">
          <cell r="B372" t="str">
            <v>RED ZONA 1</v>
          </cell>
        </row>
        <row r="373">
          <cell r="B373" t="str">
            <v>RED ZONA 2</v>
          </cell>
        </row>
        <row r="374">
          <cell r="B374" t="str">
            <v>BANDA ANCHA DESARROLLO</v>
          </cell>
        </row>
        <row r="375">
          <cell r="B375" t="str">
            <v>BANDA ANCHA OPERACIÓN</v>
          </cell>
        </row>
        <row r="376">
          <cell r="B376" t="str">
            <v>CENTRO DE ACTIVIDAD NO EXISTE!!!</v>
          </cell>
        </row>
        <row r="377">
          <cell r="B377" t="str">
            <v>SUBGERENCIA ADMON Y FINANZAS TELECOMUNICACIONES</v>
          </cell>
        </row>
        <row r="378">
          <cell r="B378" t="str">
            <v>CENTRO DE ACTIVIDAD NO EXISTE!!!</v>
          </cell>
        </row>
        <row r="379">
          <cell r="B379" t="str">
            <v>ÁREA FINANZAS TELECOMUNICACIONES</v>
          </cell>
        </row>
        <row r="380">
          <cell r="B380" t="str">
            <v>CENTRO DE ACTIVIDAD NO EXISTE!!!</v>
          </cell>
        </row>
        <row r="381">
          <cell r="B381" t="str">
            <v>ÁREA GESTIÓN ORGANIZACIONAL TELECOMUNIC.</v>
          </cell>
        </row>
        <row r="382">
          <cell r="B382" t="str">
            <v>GESTIÓN HUMANA TELECOMUNICACIONES</v>
          </cell>
        </row>
        <row r="383">
          <cell r="B383" t="str">
            <v>CENTRO DE ACTIVIDAD NO EXISTE!!!</v>
          </cell>
        </row>
        <row r="384">
          <cell r="B384" t="str">
            <v>ÁREA INFORMÁTICA TELECOMUNICACIONES</v>
          </cell>
        </row>
        <row r="385">
          <cell r="B385" t="str">
            <v>CENTRO DE ACTIVIDAD NO EXISTE!!!</v>
          </cell>
        </row>
        <row r="386">
          <cell r="B386" t="str">
            <v>GASTOS GENERALES DE OPERACION</v>
          </cell>
        </row>
        <row r="387">
          <cell r="B387" t="str">
            <v>GERENCIA DE FINANZAS</v>
          </cell>
        </row>
        <row r="388">
          <cell r="B388" t="str">
            <v>CENTRO DE ACTIVIDAD NO EXISTE!!!</v>
          </cell>
        </row>
        <row r="389">
          <cell r="B389" t="str">
            <v>SISTEMA DE INFORMAC FINANCIERA</v>
          </cell>
        </row>
        <row r="390">
          <cell r="B390" t="str">
            <v>CENTRO DE ACTIVIDAD NO EXISTE!!!</v>
          </cell>
        </row>
        <row r="391">
          <cell r="B391" t="str">
            <v>SUBGERENCIA FINANZAS CORPORATIVAS</v>
          </cell>
        </row>
        <row r="392">
          <cell r="B392" t="str">
            <v>CENTRO DE ACTIVIDAD NO EXISTE!!!</v>
          </cell>
        </row>
        <row r="393">
          <cell r="B393" t="str">
            <v>ÁREA GESTIÓN FINANCIERA</v>
          </cell>
        </row>
        <row r="394">
          <cell r="B394" t="str">
            <v>CENTRO DE ACTIVIDAD NO EXISTE!!!</v>
          </cell>
        </row>
        <row r="395">
          <cell r="B395" t="str">
            <v>ÁREA PROGRAMACIÓN Y CONTROL PRESUPUESTAL</v>
          </cell>
        </row>
        <row r="396">
          <cell r="B396" t="str">
            <v>CENTRO DE ACTIVIDAD NO EXISTE!!!</v>
          </cell>
        </row>
        <row r="397">
          <cell r="B397" t="str">
            <v>SUBGERENCIA CONTADURÍA</v>
          </cell>
        </row>
        <row r="398">
          <cell r="B398" t="str">
            <v>CENTRO DE ACTIVIDAD NO EXISTE!!!</v>
          </cell>
        </row>
        <row r="399">
          <cell r="B399" t="str">
            <v>ÁREA DE PLANEACIÓN Y GESTIÓN TRIBUTARIA</v>
          </cell>
        </row>
        <row r="400">
          <cell r="B400" t="str">
            <v>CENTRO DE ACTIVIDAD NO EXISTE!!!</v>
          </cell>
        </row>
        <row r="401">
          <cell r="B401" t="str">
            <v>ÁREA CONTABILIDAD CORPORATIVA</v>
          </cell>
        </row>
        <row r="402">
          <cell r="B402" t="str">
            <v>CENTRO DE ACTIVIDAD NO EXISTE!!!</v>
          </cell>
        </row>
        <row r="403">
          <cell r="B403" t="str">
            <v>ÁREA CONTABILIDAD DE COSTOS</v>
          </cell>
        </row>
        <row r="404">
          <cell r="B404" t="str">
            <v>CENTRO DE ACTIVIDAD NO EXISTE!!!</v>
          </cell>
        </row>
        <row r="405">
          <cell r="B405" t="str">
            <v>SUBGERENCIA GESTIÓN DE CAPITALES</v>
          </cell>
        </row>
        <row r="406">
          <cell r="B406" t="str">
            <v>CENTRO DE ACTIVIDAD NO EXISTE!!!</v>
          </cell>
        </row>
        <row r="407">
          <cell r="B407" t="str">
            <v>ÁREA OPERACIONES FINANCIERAS</v>
          </cell>
        </row>
        <row r="408">
          <cell r="B408" t="str">
            <v>CENTRO DE ACTIVIDAD NO EXISTE!!!</v>
          </cell>
        </row>
        <row r="409">
          <cell r="B409" t="str">
            <v>ÁREA DE TESORERÍA</v>
          </cell>
        </row>
        <row r="410">
          <cell r="B410" t="str">
            <v>CENTRO DE ACTIVIDAD NO EXISTE!!!</v>
          </cell>
        </row>
        <row r="411">
          <cell r="B411" t="str">
            <v>ÁREA BANCA DE INVERSIÓN</v>
          </cell>
        </row>
        <row r="412">
          <cell r="B412" t="str">
            <v>CENTRO DE ACTIVIDAD NO EXISTE!!!</v>
          </cell>
        </row>
        <row r="413">
          <cell r="B413" t="str">
            <v>DIRECCIÓN  ADMINISTRATIVA</v>
          </cell>
        </row>
        <row r="414">
          <cell r="B414" t="str">
            <v>CENTRO DE ACTIVIDAD NO EXISTE!!!</v>
          </cell>
        </row>
        <row r="415">
          <cell r="B415" t="str">
            <v>DEPTO SEGURIDAD, VIGILANCIA Y CONTROL</v>
          </cell>
        </row>
        <row r="416">
          <cell r="B416" t="str">
            <v>CENTRO DE ACTIVIDAD NO EXISTE!!!</v>
          </cell>
        </row>
        <row r="417">
          <cell r="B417" t="str">
            <v>DEPTO DE BIENES INMUEBLES</v>
          </cell>
        </row>
        <row r="418">
          <cell r="B418" t="str">
            <v>CENTRO DE ACTIVIDAD NO EXISTE!!!</v>
          </cell>
        </row>
        <row r="419">
          <cell r="B419" t="str">
            <v>UNIDAD ADMON DE RIESGOS Y SEGUROS</v>
          </cell>
        </row>
        <row r="420">
          <cell r="B420" t="str">
            <v>COSTO PÓLIZAS DE SEGUROS</v>
          </cell>
        </row>
        <row r="421">
          <cell r="B421" t="str">
            <v>FONDO DE INVERSIÓN SEGUROS</v>
          </cell>
        </row>
        <row r="422">
          <cell r="B422" t="str">
            <v>CENTRO DE ACTIVIDAD NO EXISTE!!!</v>
          </cell>
        </row>
        <row r="423">
          <cell r="B423" t="str">
            <v>PROYECTO ABACO</v>
          </cell>
        </row>
        <row r="424">
          <cell r="B424" t="str">
            <v>P. U. C. Y AMBIENTAL</v>
          </cell>
        </row>
        <row r="425">
          <cell r="B425" t="str">
            <v>CENTRO DE ACTIVIDAD NO EXISTE!!!</v>
          </cell>
        </row>
        <row r="426">
          <cell r="B426" t="str">
            <v>UNIDAD EDIFICIOS</v>
          </cell>
        </row>
        <row r="427">
          <cell r="B427" t="str">
            <v>DEPTO ADMINISTRACION EDIFICIOS</v>
          </cell>
        </row>
        <row r="428">
          <cell r="B428" t="str">
            <v>DEPTO. CONSTRUCCION Y ADMON. EDIFICIOS</v>
          </cell>
        </row>
        <row r="429">
          <cell r="B429" t="str">
            <v>CENTRO DE ACTIVIDAD NO EXISTE!!!</v>
          </cell>
        </row>
        <row r="430">
          <cell r="B430" t="str">
            <v>UNIDAD DE COMPRAS</v>
          </cell>
        </row>
        <row r="431">
          <cell r="B431" t="str">
            <v>EQUIPO DE LOGISTICA INTERNACIONAL</v>
          </cell>
        </row>
        <row r="432">
          <cell r="B432" t="str">
            <v>EQUIPO DE COMPRAS NACIONALES</v>
          </cell>
        </row>
        <row r="433">
          <cell r="B433" t="str">
            <v>CENTRO DE ACTIVIDAD NO EXISTE!!!</v>
          </cell>
        </row>
        <row r="434">
          <cell r="B434" t="str">
            <v>UNIDAD ALMACENES Y SERVICIOS GENERALES</v>
          </cell>
        </row>
        <row r="435">
          <cell r="B435" t="str">
            <v>DEPTO ALMACENES</v>
          </cell>
        </row>
        <row r="436">
          <cell r="B436" t="str">
            <v>ALMACENES CENTRALES</v>
          </cell>
        </row>
        <row r="437">
          <cell r="B437" t="str">
            <v>PROVEEDURÍA CENTRALES</v>
          </cell>
        </row>
        <row r="438">
          <cell r="B438" t="str">
            <v>PROVEEDURÍA MEDELLIN</v>
          </cell>
        </row>
        <row r="439">
          <cell r="B439" t="str">
            <v>DEPTO TRANSPORTE Y TALLERES</v>
          </cell>
        </row>
        <row r="440">
          <cell r="B440" t="str">
            <v>CENTRO DE ACTIVIDAD NO EXISTE!!!</v>
          </cell>
        </row>
        <row r="441">
          <cell r="B441" t="str">
            <v>DEPTO ADMINISTRACIÓN DOCUMENTAL</v>
          </cell>
        </row>
        <row r="442">
          <cell r="B442" t="str">
            <v>CENTRO DE ACTIVIDAD NO EXISTE!!!</v>
          </cell>
        </row>
        <row r="443">
          <cell r="B443" t="str">
            <v>ASISTENCIA TÉCNICA E INVESTIGACIÓN CALIDAD</v>
          </cell>
        </row>
        <row r="444">
          <cell r="B444" t="str">
            <v>CENTRO DE ACTIVIDAD NO EXISTE!!!</v>
          </cell>
        </row>
        <row r="445">
          <cell r="B445" t="str">
            <v>DIRECCIÓN DE GESTION HUMANA</v>
          </cell>
        </row>
        <row r="446">
          <cell r="B446" t="str">
            <v>CENTRO DE ACTIVIDAD NO EXISTE!!!</v>
          </cell>
        </row>
        <row r="447">
          <cell r="B447" t="str">
            <v>UNIDAD DE RELACIONES LABORALES</v>
          </cell>
        </row>
        <row r="448">
          <cell r="B448" t="str">
            <v>CENTRO DE ACTIVIDAD NO EXISTE!!!</v>
          </cell>
        </row>
        <row r="449">
          <cell r="B449" t="str">
            <v>DEPTO NÓMINA Y SEGURIDAD SOCIAL</v>
          </cell>
        </row>
        <row r="450">
          <cell r="B450" t="str">
            <v>CENTRO DE ACTIVIDAD NO EXISTE!!!</v>
          </cell>
        </row>
        <row r="451">
          <cell r="B451" t="str">
            <v>DEPTO PROCESO DISCIPLINARIOS Y LEGALES</v>
          </cell>
        </row>
        <row r="452">
          <cell r="B452" t="str">
            <v>CENTRO DE ACTIVIDAD NO EXISTE!!!</v>
          </cell>
        </row>
        <row r="453">
          <cell r="B453" t="str">
            <v>UNIDAD SERVICIOS AL PERSONAL</v>
          </cell>
        </row>
        <row r="454">
          <cell r="B454" t="str">
            <v>CENTRO DE ACTIVIDAD NO EXISTE!!!</v>
          </cell>
        </row>
        <row r="455">
          <cell r="B455" t="str">
            <v>DEPTO DE BIENESTAR LABORAL</v>
          </cell>
        </row>
        <row r="456">
          <cell r="B456" t="str">
            <v>DEPORTES</v>
          </cell>
        </row>
        <row r="457">
          <cell r="B457" t="str">
            <v>PROGRAMAS ESPECIALES</v>
          </cell>
        </row>
        <row r="458">
          <cell r="B458" t="str">
            <v>CENTRO DE ACTIVIDAD NO EXISTE!!!</v>
          </cell>
        </row>
        <row r="459">
          <cell r="B459" t="str">
            <v>DEPARTAMENTO DE SERVICIO MEDICO/ODONTOLOGICO</v>
          </cell>
        </row>
        <row r="460">
          <cell r="B460" t="str">
            <v>GRUPO SERVICIOS ODONTOLOGICOS</v>
          </cell>
        </row>
        <row r="461">
          <cell r="B461" t="str">
            <v>GRUPO SERV MEDICOS GUADALUPE</v>
          </cell>
        </row>
        <row r="462">
          <cell r="B462" t="str">
            <v>GRUPO SERV MEDICOS GUATAPÉ</v>
          </cell>
        </row>
        <row r="463">
          <cell r="B463" t="str">
            <v>GRUPO SERV MEDICOS PLAYAS</v>
          </cell>
        </row>
        <row r="464">
          <cell r="B464" t="str">
            <v>GRUPO SERV MEDICOS PORCE II</v>
          </cell>
        </row>
        <row r="465">
          <cell r="B465" t="str">
            <v>LEY 100  DEPTO MEDICO</v>
          </cell>
        </row>
        <row r="466">
          <cell r="B466" t="str">
            <v>CENTRO DE ACTIVIDAD NO EXISTE!!!</v>
          </cell>
        </row>
        <row r="467">
          <cell r="B467" t="str">
            <v>DEPTO SALUD OCUPACIONAL</v>
          </cell>
        </row>
        <row r="468">
          <cell r="B468" t="str">
            <v>CENTRO DE ACTIVIDAD NO EXISTE!!!</v>
          </cell>
        </row>
        <row r="469">
          <cell r="B469" t="str">
            <v>UNIDAD DESARROLLO RECURSO HUMANO</v>
          </cell>
        </row>
        <row r="470">
          <cell r="B470" t="str">
            <v>DEPTO PLANEACIÓN DE RECURSOS HUMANOS</v>
          </cell>
        </row>
        <row r="471">
          <cell r="B471" t="str">
            <v>DEPTO DE SELECCIÓN</v>
          </cell>
        </row>
        <row r="472">
          <cell r="B472" t="str">
            <v>DEPTO DESARROLLO HUMANO</v>
          </cell>
        </row>
        <row r="473">
          <cell r="B473" t="str">
            <v>DEPTO DE CAPACITACIÓN Y DESARROLLO</v>
          </cell>
        </row>
        <row r="474">
          <cell r="B474" t="str">
            <v>BIBLIOTECA Y CENTRO DE APRENDIZAJE</v>
          </cell>
        </row>
        <row r="475">
          <cell r="B475" t="str">
            <v>APRENDICES SENA</v>
          </cell>
        </row>
        <row r="476">
          <cell r="B476" t="str">
            <v>CENTRO DE ACTIVIDAD NO EXISTE!!!</v>
          </cell>
        </row>
        <row r="477">
          <cell r="B477" t="str">
            <v>EQUIPOS VIA RADIO RURAL INDIVIDUAL</v>
          </cell>
        </row>
        <row r="478">
          <cell r="B478" t="str">
            <v>BUSCAPERSONAS</v>
          </cell>
        </row>
        <row r="479">
          <cell r="B479" t="str">
            <v>EQUIPOS ABONADO FIJO</v>
          </cell>
        </row>
        <row r="480">
          <cell r="B480" t="str">
            <v>EQUIPOS MOVIL TRANSPORTABLE</v>
          </cell>
        </row>
        <row r="481">
          <cell r="B481" t="str">
            <v>EQUIPOS ABONADO MOVIL</v>
          </cell>
        </row>
        <row r="482">
          <cell r="B482" t="str">
            <v>EQUIPOS ABONADO PORTATIL</v>
          </cell>
        </row>
        <row r="483">
          <cell r="B483" t="str">
            <v>EQUIPOS CARGADOR MULTIPLE</v>
          </cell>
        </row>
        <row r="484">
          <cell r="B484" t="str">
            <v>EQUIPOS CARGADOR INDIVIDUAL</v>
          </cell>
        </row>
        <row r="485">
          <cell r="B485" t="str">
            <v>CENTRO DE ACTIVIDAD NO EXISTE!!!</v>
          </cell>
        </row>
        <row r="486">
          <cell r="B486" t="str">
            <v>HERRAMIENTAS</v>
          </cell>
        </row>
        <row r="487">
          <cell r="B487" t="str">
            <v>MUEBLES Y EQUIPOS OFICINA</v>
          </cell>
        </row>
        <row r="488">
          <cell r="B488" t="str">
            <v>EQUIPOS INFORMÁTICA</v>
          </cell>
        </row>
        <row r="489">
          <cell r="B489" t="str">
            <v>EQUPOS MANTENIMIENTO</v>
          </cell>
        </row>
        <row r="490">
          <cell r="B490" t="str">
            <v>OTROS ACTIVOS</v>
          </cell>
        </row>
        <row r="491">
          <cell r="B491" t="str">
            <v>EDIFICIO EPM</v>
          </cell>
        </row>
        <row r="492">
          <cell r="B492" t="str">
            <v>CENTRO DE ACTIVIDAD NO EXISTE!!!</v>
          </cell>
        </row>
        <row r="493">
          <cell r="B493" t="str">
            <v>OBLIGACIONES PENSIONALES</v>
          </cell>
        </row>
        <row r="494">
          <cell r="B494" t="str">
            <v>CENTRO DE ACTIVIDAD NO EXISTE!!!</v>
          </cell>
        </row>
        <row r="495">
          <cell r="B495" t="str">
            <v>EROGACIONES NO CAPITALIZABLES</v>
          </cell>
        </row>
        <row r="496">
          <cell r="B496" t="str">
            <v>GASTOS GENERALES ADMINISTRACION</v>
          </cell>
        </row>
        <row r="497">
          <cell r="B497" t="str">
            <v>SECRETARIA GENERAL</v>
          </cell>
        </row>
        <row r="498">
          <cell r="B498" t="str">
            <v>CENTRO DE ACTIVIDAD NO EXISTE!!!</v>
          </cell>
        </row>
        <row r="499">
          <cell r="B499" t="str">
            <v>SECRETARÍA AUXILIAR</v>
          </cell>
        </row>
        <row r="500">
          <cell r="B500" t="str">
            <v>CENTRO DE ACTIVIDAD NO EXISTE!!!</v>
          </cell>
        </row>
        <row r="501">
          <cell r="B501" t="str">
            <v>UNIDAD JURÍDICA AGUAS</v>
          </cell>
        </row>
        <row r="502">
          <cell r="B502" t="str">
            <v>CENTRO DE ACTIVIDAD NO EXISTE!!!</v>
          </cell>
        </row>
        <row r="503">
          <cell r="B503" t="str">
            <v>UNIDAD JURIDICA GENERACION ENERGIA/AMBIENTAL</v>
          </cell>
        </row>
        <row r="504">
          <cell r="B504" t="str">
            <v>CENTRO DE ACTIVIDAD NO EXISTE!!!</v>
          </cell>
        </row>
        <row r="505">
          <cell r="B505" t="str">
            <v>UNIDAD JURIDICA TELECOMUNICACIONES</v>
          </cell>
        </row>
        <row r="506">
          <cell r="B506" t="str">
            <v>CENTRO DE ACTIVIDAD NO EXISTE!!!</v>
          </cell>
        </row>
        <row r="507">
          <cell r="B507" t="str">
            <v>UNIDAD JURIDICA APOYO OTRAS ÁREAS</v>
          </cell>
        </row>
        <row r="508">
          <cell r="B508" t="str">
            <v>CENTRO DE ACTIVIDAD NO EXISTE!!!</v>
          </cell>
        </row>
        <row r="509">
          <cell r="B509" t="str">
            <v>UNIDAD JURIDICA BIENES INMUEBLES</v>
          </cell>
        </row>
        <row r="510">
          <cell r="B510" t="str">
            <v>CENTRO DE ACTIVIDAD NO EXISTE!!!</v>
          </cell>
        </row>
        <row r="511">
          <cell r="B511" t="str">
            <v>UNIDAD JURÍDICA PROCESOS Y RECLAMACIONES</v>
          </cell>
        </row>
        <row r="512">
          <cell r="B512" t="str">
            <v>CENTRO DE ACTIVIDAD NO EXISTE!!!</v>
          </cell>
        </row>
        <row r="513">
          <cell r="B513" t="str">
            <v>UNIDAD JURIDICA DISTRIBUCION ENERGIA</v>
          </cell>
        </row>
        <row r="514">
          <cell r="B514" t="str">
            <v>CENTRO DE ACTIVIDAD NO EXISTE!!!</v>
          </cell>
        </row>
        <row r="515">
          <cell r="B515" t="str">
            <v>UNIDAD JURIDICA COMERCIAL</v>
          </cell>
        </row>
        <row r="516">
          <cell r="B516" t="str">
            <v>CENTRO DE ACTIVIDAD NO EXISTE!!!</v>
          </cell>
        </row>
        <row r="517">
          <cell r="B517" t="str">
            <v>GERENCIA DISTRIBUCION ENERGIA</v>
          </cell>
        </row>
        <row r="518">
          <cell r="B518" t="str">
            <v>CENTRO DE ACTIVIDAD NO EXISTE!!!</v>
          </cell>
        </row>
        <row r="519">
          <cell r="B519" t="str">
            <v>PLANEACION DISTRIBUCION ENERGIA</v>
          </cell>
        </row>
        <row r="520">
          <cell r="B520" t="str">
            <v>CENTRO DE ACTIVIDAD NO EXISTE!!!</v>
          </cell>
        </row>
        <row r="521">
          <cell r="B521" t="str">
            <v>SUBGERENCIA NUEVOS NEGOCIOS</v>
          </cell>
        </row>
        <row r="522">
          <cell r="B522" t="str">
            <v>CENTRO DE ACTIVIDAD NO EXISTE!!!</v>
          </cell>
        </row>
        <row r="523">
          <cell r="B523" t="str">
            <v>SUBGERENCIA ADMON Y FINANZAS DISTRIBUCIÓN</v>
          </cell>
        </row>
        <row r="524">
          <cell r="B524" t="str">
            <v>ÁREA FINANZAS DISTRIBUCIÓN</v>
          </cell>
        </row>
        <row r="525">
          <cell r="B525" t="str">
            <v>ÁREA GESTIÓN ORGANIZACIONAL DISTRIBUCIÓN</v>
          </cell>
        </row>
        <row r="526">
          <cell r="B526" t="str">
            <v>ÁREA INFORMÁTICA DISTRIBUCIÓN</v>
          </cell>
        </row>
        <row r="527">
          <cell r="B527" t="str">
            <v>ÁREA TRANSACCIONES DISTRIBUCIÓN</v>
          </cell>
        </row>
        <row r="528">
          <cell r="B528" t="str">
            <v>GESTIÓN HUMANA DISTRIBUCIÓN</v>
          </cell>
        </row>
        <row r="529">
          <cell r="B529" t="str">
            <v>CENTRO DE ACTIVIDAD NO EXISTE!!!</v>
          </cell>
        </row>
        <row r="530">
          <cell r="B530" t="str">
            <v>SUBGERENCIA GAS</v>
          </cell>
        </row>
        <row r="531">
          <cell r="B531" t="str">
            <v>ÁREA OPERACIÓN REDES GAS</v>
          </cell>
        </row>
        <row r="532">
          <cell r="B532" t="str">
            <v>ÁREA EXPANSIÓN REDES DE GAS</v>
          </cell>
        </row>
        <row r="533">
          <cell r="B533" t="str">
            <v>TRANSACCIONES GAS</v>
          </cell>
        </row>
        <row r="534">
          <cell r="B534" t="str">
            <v>REDES GAS ALTA PRESIÓN</v>
          </cell>
        </row>
        <row r="535">
          <cell r="B535" t="str">
            <v>REDES GAS MEDIA Y BAJA PRESIÓN</v>
          </cell>
        </row>
        <row r="536">
          <cell r="B536" t="str">
            <v>REDES GAS</v>
          </cell>
        </row>
        <row r="537">
          <cell r="B537" t="str">
            <v>INSTALACIONES GAS</v>
          </cell>
        </row>
        <row r="538">
          <cell r="B538" t="str">
            <v>INGENIERÍA Y GESTIÓN GAS</v>
          </cell>
        </row>
        <row r="539">
          <cell r="B539" t="str">
            <v>CENTRO DE ACTIVIDAD NO EXISTE!!!</v>
          </cell>
        </row>
        <row r="540">
          <cell r="B540" t="str">
            <v>SUBGERENCIA REDES DE TRANSMISIÓN</v>
          </cell>
        </row>
        <row r="541">
          <cell r="B541" t="str">
            <v>CENTRO DE ACTIVIDAD NO EXISTE!!!</v>
          </cell>
        </row>
        <row r="542">
          <cell r="B542" t="str">
            <v>CENTRO REGIONAL DE DESPACHO</v>
          </cell>
        </row>
        <row r="543">
          <cell r="B543" t="str">
            <v>CENTRO DE ACTIVIDAD NO EXISTE!!!</v>
          </cell>
        </row>
        <row r="544">
          <cell r="B544" t="str">
            <v>ÁREA MONTAJES</v>
          </cell>
        </row>
        <row r="545">
          <cell r="B545" t="str">
            <v>CENTRO DE ACTIVIDAD NO EXISTE!!!</v>
          </cell>
        </row>
        <row r="546">
          <cell r="B546" t="str">
            <v>ÁREA AUTOMATIZACIÓN DISTRIBUCIÓN</v>
          </cell>
        </row>
        <row r="547">
          <cell r="B547" t="str">
            <v>CENTRO DE ACTIVIDAD NO EXISTE!!!</v>
          </cell>
        </row>
        <row r="548">
          <cell r="B548" t="str">
            <v>ÁREA SUBESTACIONES Y LINEAS</v>
          </cell>
        </row>
        <row r="549">
          <cell r="B549" t="str">
            <v>PROYECTOS REDES TRANSMISIÓN</v>
          </cell>
        </row>
        <row r="550">
          <cell r="B550" t="str">
            <v>CENTRO DE ACTIVIDAD NO EXISTE!!!</v>
          </cell>
        </row>
        <row r="551">
          <cell r="B551" t="str">
            <v>SUBGERENCIA REDES DE  DISTRIBUCIÓN</v>
          </cell>
        </row>
        <row r="552">
          <cell r="B552" t="str">
            <v>CENTRO DE ACTIVIDAD NO EXISTE!!!</v>
          </cell>
        </row>
        <row r="553">
          <cell r="B553" t="str">
            <v>ÁREA DISTRIBUCIÓN ELÉCTRICA NORTE</v>
          </cell>
        </row>
        <row r="554">
          <cell r="B554" t="str">
            <v>ATENCIÓN CLIENTES DISTRIBUCIÓN ELÉC. NORTE</v>
          </cell>
        </row>
        <row r="555">
          <cell r="B555" t="str">
            <v>PROYECTOS DISTRIBUCIÓN ELECTRICA NORTE</v>
          </cell>
        </row>
        <row r="556">
          <cell r="B556" t="str">
            <v>MTTO Y OPERACIÓN DISTRIBUC. ELECT. NORTE</v>
          </cell>
        </row>
        <row r="557">
          <cell r="B557" t="str">
            <v>CONTROL PÉRDIDAS DISTRIBUCIÓN ELEC. NORTE</v>
          </cell>
        </row>
        <row r="558">
          <cell r="B558" t="str">
            <v>CENTRO DE ACTIVIDAD NO EXISTE!!!</v>
          </cell>
        </row>
        <row r="559">
          <cell r="B559" t="str">
            <v>ÁREA DISTRIBUCIÓN ELÉCTRICA SUR</v>
          </cell>
        </row>
        <row r="560">
          <cell r="B560" t="str">
            <v>ATENCIÓN CLIENTES DISTRIBUCIÓN ELÉC. SUR</v>
          </cell>
        </row>
        <row r="561">
          <cell r="B561" t="str">
            <v>PROYECTOS DISTRIBUCIÓN ELECTRICA SUR</v>
          </cell>
        </row>
        <row r="562">
          <cell r="B562" t="str">
            <v>MTTO Y OPERACIÓN DISTRIBUC. ELECT. SUR</v>
          </cell>
        </row>
        <row r="563">
          <cell r="B563" t="str">
            <v>CONTROL PÉRDIDAS DISTRIBUCIÓN ELEC. SUR</v>
          </cell>
        </row>
        <row r="564">
          <cell r="B564" t="str">
            <v>CENTRO DE ACTIVIDAD NO EXISTE!!!</v>
          </cell>
        </row>
        <row r="565">
          <cell r="B565" t="str">
            <v>ÁREA ALUMBRADO PÚBLICO</v>
          </cell>
        </row>
        <row r="566">
          <cell r="B566" t="str">
            <v>MANTENIMIENTO ALUMBRADO PÚBLICO</v>
          </cell>
        </row>
        <row r="567">
          <cell r="B567" t="str">
            <v>PROYECTOS ALUMBRADO PÚBLICO</v>
          </cell>
        </row>
        <row r="568">
          <cell r="B568" t="str">
            <v>CENTRO DE ACTIVIDAD NO EXISTE!!!</v>
          </cell>
        </row>
        <row r="569">
          <cell r="B569" t="str">
            <v>ÁREA DISTRIBUCIÓN ELÉCTRICA CENTRO</v>
          </cell>
        </row>
        <row r="570">
          <cell r="B570" t="str">
            <v>ATENCIÓN CLIENTES DISTRIBUCIÓN ELÉC. CENTRO</v>
          </cell>
        </row>
        <row r="571">
          <cell r="B571" t="str">
            <v>PROYECTOS DISTRIBUCIÓN ELECTRICA CENTRO</v>
          </cell>
        </row>
        <row r="572">
          <cell r="B572" t="str">
            <v>MTTO Y OPERACIÓN DISTRIBUC. ELECT. CENTRO</v>
          </cell>
        </row>
        <row r="573">
          <cell r="B573" t="str">
            <v>CONTROL PÉRDIDAS DISTRIBUCIÓN ELEC. CENTRO</v>
          </cell>
        </row>
        <row r="574">
          <cell r="B574" t="str">
            <v>CENTRO DE ACTIVIDAD NO EXISTE!!!</v>
          </cell>
        </row>
        <row r="575">
          <cell r="B575" t="str">
            <v>DEPTO MANTENIMIENTO EQUIPOS</v>
          </cell>
        </row>
        <row r="576">
          <cell r="B576" t="str">
            <v>CENTRO DE ACTIVIDAD NO EXISTE!!!</v>
          </cell>
        </row>
        <row r="577">
          <cell r="B577" t="str">
            <v>ÁREA INGENIERÍA Y GESTIÓN DISTRIBUC. ELECT.</v>
          </cell>
        </row>
        <row r="578">
          <cell r="B578" t="str">
            <v>MANTENIMIENTO EQUIPOS</v>
          </cell>
        </row>
        <row r="579">
          <cell r="B579" t="str">
            <v>EQUIPOS DE MEDIDA</v>
          </cell>
        </row>
        <row r="580">
          <cell r="B580" t="str">
            <v>CENTRO DE INFORMACIÓN REDES</v>
          </cell>
        </row>
        <row r="581">
          <cell r="B581" t="str">
            <v xml:space="preserve">INGENIERÍA  </v>
          </cell>
        </row>
        <row r="582">
          <cell r="B582" t="str">
            <v>CENTRO DE ACTIVIDAD NO EXISTE!!!</v>
          </cell>
        </row>
        <row r="583">
          <cell r="B583" t="str">
            <v>AREA OPERACIÓN Y CALIDAD</v>
          </cell>
        </row>
        <row r="584">
          <cell r="B584" t="str">
            <v>CENTRO DE ACTIVIDAD NO EXISTE!!!</v>
          </cell>
        </row>
        <row r="585">
          <cell r="B585" t="str">
            <v>ÁREA REDUCCIÓN DE PERDIDAS</v>
          </cell>
        </row>
        <row r="586">
          <cell r="B586" t="str">
            <v>SUBESTACIÓN EL SALTO</v>
          </cell>
        </row>
        <row r="587">
          <cell r="B587" t="str">
            <v>SUBESTACIÓN GUADALUPE IV</v>
          </cell>
        </row>
        <row r="588">
          <cell r="B588" t="str">
            <v>SUBESTACIÓN PORCE II FUTURO</v>
          </cell>
        </row>
        <row r="589">
          <cell r="B589" t="str">
            <v>SUBESTACIÓN GUATAPÉ</v>
          </cell>
        </row>
        <row r="590">
          <cell r="B590" t="str">
            <v>SUBESTACIÓN PLAYAS</v>
          </cell>
        </row>
        <row r="591">
          <cell r="B591" t="str">
            <v>SUBESTACIÓN AYURA PIEDRAS BLANCAS</v>
          </cell>
        </row>
        <row r="592">
          <cell r="B592" t="str">
            <v>SUBESTACIÓN TASAJERA</v>
          </cell>
        </row>
        <row r="593">
          <cell r="B593" t="str">
            <v>SUBESTACIÓN RIOGRANDE I</v>
          </cell>
        </row>
        <row r="594">
          <cell r="B594" t="str">
            <v>CENTRO DE ACTIVIDAD NO EXISTE!!!</v>
          </cell>
        </row>
        <row r="595">
          <cell r="B595" t="str">
            <v>AJUSTES POR INFLACIÓN SANEAMIENTO</v>
          </cell>
        </row>
        <row r="596">
          <cell r="B596" t="str">
            <v>CENTRO DE ACTIVIDAD NO EXISTE!!!</v>
          </cell>
        </row>
        <row r="597">
          <cell r="B597" t="str">
            <v>ESTUDIOS PLAN FUTURO ACTO</v>
          </cell>
        </row>
        <row r="598">
          <cell r="B598" t="str">
            <v>CENTRO DE ACTIVIDAD NO EXISTE!!!</v>
          </cell>
        </row>
        <row r="599">
          <cell r="B599" t="str">
            <v>REORDENAMIENTO DE CIRCUITOS</v>
          </cell>
        </row>
        <row r="600">
          <cell r="B600" t="str">
            <v>MEJORAS SERVICIO EQUIPOS TTO.</v>
          </cell>
        </row>
        <row r="601">
          <cell r="B601" t="str">
            <v>TIERRAS PLAN DLLO SANEAM Y ACTO.</v>
          </cell>
        </row>
        <row r="602">
          <cell r="B602" t="str">
            <v>MEJORAS DEL SERV CAPT EQUIPO</v>
          </cell>
        </row>
        <row r="603">
          <cell r="B603" t="str">
            <v>CENTRO DE ACTIVIDAD NO EXISTE!!!</v>
          </cell>
        </row>
        <row r="604">
          <cell r="B604" t="str">
            <v>REDES Y DOMICIL.HV. ACT.PLAN FUTURO</v>
          </cell>
        </row>
        <row r="605">
          <cell r="B605" t="str">
            <v>CENTRO DE ACTIVIDAD NO EXISTE!!!</v>
          </cell>
        </row>
        <row r="606">
          <cell r="B606" t="str">
            <v>REDES ACUEDUCTO</v>
          </cell>
        </row>
        <row r="607">
          <cell r="B607" t="str">
            <v>CONTROL AGUA NO FACT.EQ.PLAN DLLO.</v>
          </cell>
        </row>
        <row r="608">
          <cell r="B608" t="str">
            <v>CONDUCCIONES OBRA CIVIL PLAN DLLO.</v>
          </cell>
        </row>
        <row r="609">
          <cell r="B609" t="str">
            <v>ACOMETIDAS OB CIV MEJ PL DLLO</v>
          </cell>
        </row>
        <row r="610">
          <cell r="B610" t="str">
            <v>CENTRO DE ACTIVIDAD NO EXISTE!!!</v>
          </cell>
        </row>
        <row r="611">
          <cell r="B611" t="str">
            <v>TANQUES PLAN DLLO SANEAM ACTO</v>
          </cell>
        </row>
        <row r="612">
          <cell r="B612" t="str">
            <v>MEJORAS SERVICIO EQUIPOS DIST.</v>
          </cell>
        </row>
        <row r="613">
          <cell r="B613" t="str">
            <v>ESTACIONES DE BOMB PLAN DLLO EQUIPOS</v>
          </cell>
        </row>
        <row r="614">
          <cell r="B614" t="str">
            <v>ESTACIONES BOMBEO PLAN DLLO O.CIVIL</v>
          </cell>
        </row>
        <row r="615">
          <cell r="B615" t="str">
            <v>CENTRO DE ACTIVIDAD NO EXISTE!!!</v>
          </cell>
        </row>
        <row r="616">
          <cell r="B616" t="str">
            <v>PAVIMENTOS ACTO PLAN SANEAMIENTO</v>
          </cell>
        </row>
        <row r="617">
          <cell r="B617" t="str">
            <v>CENTRO DE ACTIVIDAD NO EXISTE!!!</v>
          </cell>
        </row>
        <row r="618">
          <cell r="B618" t="str">
            <v>INST Y CAMB MED PLAN DLLO SANEAMIENTO</v>
          </cell>
        </row>
        <row r="619">
          <cell r="B619" t="str">
            <v>REINSTAL Y RETIRO INSTALACIONES</v>
          </cell>
        </row>
        <row r="620">
          <cell r="B620" t="str">
            <v>CENTRO DE ACTIVIDAD NO EXISTE!!!</v>
          </cell>
        </row>
        <row r="621">
          <cell r="B621" t="str">
            <v>ANTIC PL DLLO SANEAM RIO MEDELLIN</v>
          </cell>
        </row>
        <row r="622">
          <cell r="B622" t="str">
            <v>ING.PLAN DLLO.SANEAM.RIO MED.ACTO.</v>
          </cell>
        </row>
        <row r="623">
          <cell r="B623" t="str">
            <v>INTERV.PLAN DLLO.SANEAM.RIO.MEDELLIN</v>
          </cell>
        </row>
        <row r="624">
          <cell r="B624" t="str">
            <v>CENTRO DE ACTIVIDAD NO EXISTE!!!</v>
          </cell>
        </row>
        <row r="625">
          <cell r="B625" t="str">
            <v>G FROS PL DLLO SANEAM RIO MEDELLIN</v>
          </cell>
        </row>
        <row r="626">
          <cell r="B626" t="str">
            <v>CENTRO DE ACTIVIDAD NO EXISTE!!!</v>
          </cell>
        </row>
        <row r="627">
          <cell r="B627" t="str">
            <v>FLUCT TIPO DE CAMBIO ACUEDUCTO</v>
          </cell>
        </row>
        <row r="628">
          <cell r="B628" t="str">
            <v>CENTRO DE ACTIVIDAD NO EXISTE!!!</v>
          </cell>
        </row>
        <row r="629">
          <cell r="B629" t="str">
            <v>AJ P INFL P DLLO SANEAM RIO MEDELLIN</v>
          </cell>
        </row>
        <row r="630">
          <cell r="B630" t="str">
            <v>CENTRO DE ACTIVIDAD NO EXISTE!!!</v>
          </cell>
        </row>
        <row r="631">
          <cell r="B631" t="str">
            <v>CAP P DLLO SANEAM RIO MED Y ACTO</v>
          </cell>
        </row>
        <row r="632">
          <cell r="B632" t="str">
            <v>INFORMAT PLAN DLLO SANEAM R MEDELLIN</v>
          </cell>
        </row>
        <row r="633">
          <cell r="B633" t="str">
            <v>CENTROS DE OPERACION Y MANTTO</v>
          </cell>
        </row>
        <row r="634">
          <cell r="B634" t="str">
            <v>CENTRO DE ACTIVIDAD NO EXISTE!!!</v>
          </cell>
        </row>
        <row r="635">
          <cell r="B635" t="str">
            <v>ANTICIPOS PROGRAMAS GENERALES</v>
          </cell>
        </row>
        <row r="636">
          <cell r="B636" t="str">
            <v>CENTRO DE ACTIVIDAD NO EXISTE!!!</v>
          </cell>
        </row>
        <row r="637">
          <cell r="B637" t="str">
            <v>TANQUES GIRARDOTA</v>
          </cell>
        </row>
        <row r="638">
          <cell r="B638" t="str">
            <v>CENTRO DE ACTIVIDAD NO EXISTE!!!</v>
          </cell>
        </row>
        <row r="639">
          <cell r="B639" t="str">
            <v>USO RACIONAL DE ENERGIA</v>
          </cell>
        </row>
        <row r="640">
          <cell r="B640" t="str">
            <v>CENTRO DE ACTIVIDAD NO EXISTE!!!</v>
          </cell>
        </row>
        <row r="641">
          <cell r="B641" t="str">
            <v>ANTICIPOS FINDETER</v>
          </cell>
        </row>
        <row r="642">
          <cell r="B642" t="str">
            <v>CENTRO DE ACTIVIDAD NO EXISTE!!!</v>
          </cell>
        </row>
        <row r="643">
          <cell r="B643" t="str">
            <v>REORDENAMIENTO DE CIRCUITOS PLAN FUTURO</v>
          </cell>
        </row>
        <row r="644">
          <cell r="B644" t="str">
            <v>CENTRO DE ACTIVIDAD NO EXISTE!!!</v>
          </cell>
        </row>
        <row r="645">
          <cell r="B645" t="str">
            <v>SUMINISTRO EQUIPOS PLANTA TTO, PLAN BIENAL</v>
          </cell>
        </row>
        <row r="646">
          <cell r="B646" t="str">
            <v>CENTRO DE ACTIVIDAD NO EXISTE!!!</v>
          </cell>
        </row>
        <row r="647">
          <cell r="B647" t="str">
            <v>AJ POR INFL PLAN BIENAL ACTO</v>
          </cell>
        </row>
        <row r="648">
          <cell r="B648" t="str">
            <v>CENTRO DE ACTIVIDAD NO EXISTE!!!</v>
          </cell>
        </row>
        <row r="649">
          <cell r="B649" t="str">
            <v>EST DE BOMBEO PLAN BIENAL</v>
          </cell>
        </row>
        <row r="650">
          <cell r="B650" t="str">
            <v>CENTRO DE ACTIVIDAD NO EXISTE!!!</v>
          </cell>
        </row>
        <row r="651">
          <cell r="B651" t="str">
            <v>CONSTRUCC.YCAMB.DOMICILIARI.ACTO.</v>
          </cell>
        </row>
        <row r="652">
          <cell r="B652" t="str">
            <v>CENTRO DE ACTIVIDAD NO EXISTE!!!</v>
          </cell>
        </row>
        <row r="653">
          <cell r="B653" t="str">
            <v>CONSTRUCCION OBRAS PROG PERIUR</v>
          </cell>
        </row>
        <row r="654">
          <cell r="B654" t="str">
            <v>CONST NUEVAS REDES PLAN BIENAL</v>
          </cell>
        </row>
        <row r="655">
          <cell r="B655" t="str">
            <v>CENTRO DE ACTIVIDAD NO EXISTE!!!</v>
          </cell>
        </row>
        <row r="656">
          <cell r="B656" t="str">
            <v>ING PL BIENAL ACTO</v>
          </cell>
        </row>
        <row r="657">
          <cell r="B657" t="str">
            <v>ESTUD Y DIS ACTO PL BIENAL</v>
          </cell>
        </row>
        <row r="658">
          <cell r="B658" t="str">
            <v>CENTRO DE ACTIVIDAD NO EXISTE!!!</v>
          </cell>
        </row>
        <row r="659">
          <cell r="B659" t="str">
            <v>AJ POR INFL FINDETER HV</v>
          </cell>
        </row>
        <row r="660">
          <cell r="B660" t="str">
            <v>ANTICIPOS OTROS PROGRAMAS</v>
          </cell>
        </row>
        <row r="661">
          <cell r="B661" t="str">
            <v>CENTRO DE ACTIVIDAD NO EXISTE!!!</v>
          </cell>
        </row>
        <row r="662">
          <cell r="B662" t="str">
            <v>CONST COLECT INTERCEP PL BIENA</v>
          </cell>
        </row>
        <row r="663">
          <cell r="B663" t="str">
            <v>CENTRO DE ACTIVIDAD NO EXISTE!!!</v>
          </cell>
        </row>
        <row r="664">
          <cell r="B664" t="str">
            <v>CONSTRUCCION OBRAS CONTROL VER</v>
          </cell>
        </row>
        <row r="665">
          <cell r="B665" t="str">
            <v>CENTRO DE ACTIVIDAD NO EXISTE!!!</v>
          </cell>
        </row>
        <row r="666">
          <cell r="B666" t="str">
            <v>RECONST MASIVA RED ALC PL BIEN</v>
          </cell>
        </row>
        <row r="667">
          <cell r="B667" t="str">
            <v>CENTRO DE ACTIVIDAD NO EXISTE!!!</v>
          </cell>
        </row>
        <row r="668">
          <cell r="B668" t="str">
            <v>CONST NUEV REDES ALC PLAN BIEN</v>
          </cell>
        </row>
        <row r="669">
          <cell r="B669" t="str">
            <v>CENTRO DE ACTIVIDAD NO EXISTE!!!</v>
          </cell>
        </row>
        <row r="670">
          <cell r="B670" t="str">
            <v>AJ POR INFL PLAN BIENAL ALC</v>
          </cell>
        </row>
        <row r="671">
          <cell r="B671" t="str">
            <v>ING PL BIENAL ALC</v>
          </cell>
        </row>
        <row r="672">
          <cell r="B672" t="str">
            <v>EST Y DIS ALC PL BIENAL</v>
          </cell>
        </row>
        <row r="673">
          <cell r="B673" t="str">
            <v>INTERVENTORIA PLAN BIENAL ALC</v>
          </cell>
        </row>
        <row r="674">
          <cell r="B674" t="str">
            <v>CENTRO DE ACTIVIDAD NO EXISTE!!!</v>
          </cell>
        </row>
        <row r="675">
          <cell r="B675" t="str">
            <v>EQUIPOS TELEMETRIA Y TELECONTR</v>
          </cell>
        </row>
        <row r="676">
          <cell r="B676" t="str">
            <v>CENTRO DE TELEMETRIA OBRA CIVI</v>
          </cell>
        </row>
        <row r="677">
          <cell r="B677" t="str">
            <v>CENTRO DE ACTIVIDAD NO EXISTE!!!</v>
          </cell>
        </row>
        <row r="678">
          <cell r="B678" t="str">
            <v>PROG VEREDAS OTROS PROGRAMAS</v>
          </cell>
        </row>
        <row r="679">
          <cell r="B679" t="str">
            <v>CENTRO DE ACTIVIDAD NO EXISTE!!!</v>
          </cell>
        </row>
        <row r="680">
          <cell r="B680" t="str">
            <v>REDES Y DOMIC H.V.</v>
          </cell>
        </row>
        <row r="681">
          <cell r="B681" t="str">
            <v>RECONST. REDES INVAL ACUEDUCTO</v>
          </cell>
        </row>
        <row r="682">
          <cell r="B682" t="str">
            <v>RECONST REDES OTROS PROG    .</v>
          </cell>
        </row>
        <row r="683">
          <cell r="B683" t="str">
            <v>ESTABIL. PRESA PIEDRAS BLANCAS</v>
          </cell>
        </row>
        <row r="684">
          <cell r="B684" t="str">
            <v>TANQUES OTROS PROGRAMAS</v>
          </cell>
        </row>
        <row r="685">
          <cell r="B685" t="str">
            <v>REFACCION INST. TRATAMIENTO</v>
          </cell>
        </row>
        <row r="686">
          <cell r="B686" t="str">
            <v>REFACCION INSTALAC CAPTACION</v>
          </cell>
        </row>
        <row r="687">
          <cell r="B687" t="str">
            <v>ACONDICIONAMIENTO INSTALACIONES CALDAS</v>
          </cell>
        </row>
        <row r="688">
          <cell r="B688" t="str">
            <v>REFACCION INST. DISTRIBUCION</v>
          </cell>
        </row>
        <row r="689">
          <cell r="B689" t="str">
            <v>ACONDICIONAMIENTO INSTALACIONES BARBOSA</v>
          </cell>
        </row>
        <row r="690">
          <cell r="B690" t="str">
            <v>CENTRO DE ACTIVIDAD NO EXISTE!!!</v>
          </cell>
        </row>
        <row r="691">
          <cell r="B691" t="str">
            <v>REDES DE DISTRIBUCION ACUEDUCTO  OP</v>
          </cell>
        </row>
        <row r="692">
          <cell r="B692" t="str">
            <v>CONDUCCIONES E IMPULSACIONES</v>
          </cell>
        </row>
        <row r="693">
          <cell r="B693" t="str">
            <v>CENTRO DE ACTIVIDAD NO EXISTE!!!</v>
          </cell>
        </row>
        <row r="694">
          <cell r="B694" t="str">
            <v>ANTICIPOS OTROS PROGRAMAS</v>
          </cell>
        </row>
        <row r="695">
          <cell r="B695" t="str">
            <v>VENTA AGUA CRUDA</v>
          </cell>
        </row>
        <row r="696">
          <cell r="B696" t="str">
            <v>CENTRO DE ACTIVIDAD NO EXISTE!!!</v>
          </cell>
        </row>
        <row r="697">
          <cell r="B697" t="str">
            <v>OBRAS PROGRAMA PAAC OP</v>
          </cell>
        </row>
        <row r="698">
          <cell r="B698" t="str">
            <v>CENTRO DE ACTIVIDAD NO EXISTE!!!</v>
          </cell>
        </row>
        <row r="699">
          <cell r="B699" t="str">
            <v>AJ POR INFL OTROS PROGRAMAS</v>
          </cell>
        </row>
        <row r="700">
          <cell r="B700" t="str">
            <v>ANTICIPOS PLAN BIENAL</v>
          </cell>
        </row>
        <row r="701">
          <cell r="B701" t="str">
            <v>CENTRO DE ACTIVIDAD NO EXISTE!!!</v>
          </cell>
        </row>
        <row r="702">
          <cell r="B702" t="str">
            <v>MICROCENTRALES OBRA CIVIL</v>
          </cell>
        </row>
        <row r="703">
          <cell r="B703" t="str">
            <v>MICROCENTRALES EQUIPOS</v>
          </cell>
        </row>
        <row r="704">
          <cell r="B704" t="str">
            <v>INTERVENTORIA OTROS PROG ACTO</v>
          </cell>
        </row>
        <row r="705">
          <cell r="B705" t="str">
            <v>INGENIERIA OTROS PROGRAMAS ACU</v>
          </cell>
        </row>
        <row r="706">
          <cell r="B706" t="str">
            <v>CENTRO DE ACTIVIDAD NO EXISTE!!!</v>
          </cell>
        </row>
        <row r="707">
          <cell r="B707" t="str">
            <v>DISE\O PLANTA DE TTO SAN FDO</v>
          </cell>
        </row>
        <row r="708">
          <cell r="B708" t="str">
            <v>CENTRO DE ACTIVIDAD NO EXISTE!!!</v>
          </cell>
        </row>
        <row r="709">
          <cell r="B709" t="str">
            <v>GASTOS FROS FONADE PTA TTO SAN FDO</v>
          </cell>
        </row>
        <row r="710">
          <cell r="B710" t="str">
            <v>REUBICACION ASENT BELLO SANEAMIENTO</v>
          </cell>
        </row>
        <row r="711">
          <cell r="B711" t="str">
            <v>PREPARACION PL DLLO. DEL NORTE</v>
          </cell>
        </row>
        <row r="712">
          <cell r="B712" t="str">
            <v>CENTRO DE ACTIVIDAD NO EXISTE!!!</v>
          </cell>
        </row>
        <row r="713">
          <cell r="B713" t="str">
            <v>OBRAS PROG PAAC ALCANTARILLADO</v>
          </cell>
        </row>
        <row r="714">
          <cell r="B714" t="str">
            <v>CENTRO DE ACTIVIDAD NO EXISTE!!!</v>
          </cell>
        </row>
        <row r="715">
          <cell r="B715" t="str">
            <v>PLAN CORREGIMIENTO VEREDAS ALC</v>
          </cell>
        </row>
        <row r="716">
          <cell r="B716" t="str">
            <v>CENTRO DE ACTIVIDAD NO EXISTE!!!</v>
          </cell>
        </row>
        <row r="717">
          <cell r="B717" t="str">
            <v>REDES Y DOMICILIARIAS HV. ALC</v>
          </cell>
        </row>
        <row r="718">
          <cell r="B718" t="str">
            <v>INTERCEPT PLAN DLLO SANEAM R MEDELLIN</v>
          </cell>
        </row>
        <row r="719">
          <cell r="B719" t="str">
            <v>COLECT PLAN DLLO SANEAM RIO MEDELLIN</v>
          </cell>
        </row>
        <row r="720">
          <cell r="B720" t="str">
            <v>AJ POR INFL FINDETER HV</v>
          </cell>
        </row>
        <row r="721">
          <cell r="B721" t="str">
            <v>CENTRO DE ACTIVIDAD NO EXISTE!!!</v>
          </cell>
        </row>
        <row r="722">
          <cell r="B722" t="str">
            <v>CONST Y CAMB DOMIC Y ACOMETIDAS</v>
          </cell>
        </row>
        <row r="723">
          <cell r="B723" t="str">
            <v>CENTRO DE ACTIVIDAD NO EXISTE!!!</v>
          </cell>
        </row>
        <row r="724">
          <cell r="B724" t="str">
            <v>CONST SUMIDEROS PLUVIALES</v>
          </cell>
        </row>
        <row r="725">
          <cell r="B725" t="str">
            <v>CENTRO DE ACTIVIDAD NO EXISTE!!!</v>
          </cell>
        </row>
        <row r="726">
          <cell r="B726" t="str">
            <v>OBRAS CONTROL VERTIMIENTOS</v>
          </cell>
        </row>
        <row r="727">
          <cell r="B727" t="str">
            <v>CENTRO DE ACTIVIDAD NO EXISTE!!!</v>
          </cell>
        </row>
        <row r="728">
          <cell r="B728" t="str">
            <v>OBRA CIVIL PLANTA TTO SAN FDO</v>
          </cell>
        </row>
        <row r="729">
          <cell r="B729" t="str">
            <v>EQUIPOS PLANTA TTO SAN FDO</v>
          </cell>
        </row>
        <row r="730">
          <cell r="B730" t="str">
            <v>TERRENOS PLANTA TTO. SAN FERNANDO</v>
          </cell>
        </row>
        <row r="731">
          <cell r="B731" t="str">
            <v>MONTAJE EQUIPOS PLANTA TTO SAN FDO.</v>
          </cell>
        </row>
        <row r="732">
          <cell r="B732" t="str">
            <v>TIERR Y SERVID COLECT PL EXP REP</v>
          </cell>
        </row>
        <row r="733">
          <cell r="B733" t="str">
            <v>CENTRO DE ACTIVIDAD NO EXISTE!!!</v>
          </cell>
        </row>
        <row r="734">
          <cell r="B734" t="str">
            <v>AJ POR INFL OTROS PROGRAMAS</v>
          </cell>
        </row>
        <row r="735">
          <cell r="B735" t="str">
            <v>ANTICIPOS PLAN DLLO SANEAMIENTO</v>
          </cell>
        </row>
        <row r="736">
          <cell r="B736" t="str">
            <v>ING.PLAN DLLO.SANEAM.RIO MEDELLIN</v>
          </cell>
        </row>
        <row r="737">
          <cell r="B737" t="str">
            <v>INTERV. PLAN SANEAM.RIO MEDELLIN</v>
          </cell>
        </row>
        <row r="738">
          <cell r="B738" t="str">
            <v>CENTRO DE ACTIVIDAD NO EXISTE!!!</v>
          </cell>
        </row>
        <row r="739">
          <cell r="B739" t="str">
            <v>GTOS FROS PLAN DLLO SANEAMIENTO</v>
          </cell>
        </row>
        <row r="740">
          <cell r="B740" t="str">
            <v>CENTRO DE ACTIVIDAD NO EXISTE!!!</v>
          </cell>
        </row>
        <row r="741">
          <cell r="B741" t="str">
            <v>FLUCT TIPO DE CAMBIO ALCANTARILLADO</v>
          </cell>
        </row>
        <row r="742">
          <cell r="B742" t="str">
            <v>REPOSICION COLECTORES</v>
          </cell>
        </row>
        <row r="743">
          <cell r="B743" t="str">
            <v>CENTRO DE ACTIVIDAD NO EXISTE!!!</v>
          </cell>
        </row>
        <row r="744">
          <cell r="B744" t="str">
            <v>CONST COLECTORES OTROS PROGRAMAS</v>
          </cell>
        </row>
        <row r="745">
          <cell r="B745" t="str">
            <v>CENTRO DE ACTIVIDAD NO EXISTE!!!</v>
          </cell>
        </row>
        <row r="746">
          <cell r="B746" t="str">
            <v>PROGRAMA PERIURBANO OTROS PROGRAMAS</v>
          </cell>
        </row>
        <row r="747">
          <cell r="B747" t="str">
            <v>CENTRO DE ACTIVIDAD NO EXISTE!!!</v>
          </cell>
        </row>
        <row r="748">
          <cell r="B748" t="str">
            <v>RECONST.REDES INVAL ALCANTARILLADO</v>
          </cell>
        </row>
        <row r="749">
          <cell r="B749" t="str">
            <v>REPOSICION REDES ALCANTARILLADO</v>
          </cell>
        </row>
        <row r="750">
          <cell r="B750" t="str">
            <v>INGENIERIA OTROS PROGRAMAS ALCDO.</v>
          </cell>
        </row>
        <row r="751">
          <cell r="B751" t="str">
            <v>CENTRO DE ACTIVIDAD NO EXISTE!!!</v>
          </cell>
        </row>
        <row r="752">
          <cell r="B752" t="str">
            <v>RED PRIMARIA REPOSICIÓN</v>
          </cell>
        </row>
        <row r="753">
          <cell r="B753" t="str">
            <v>CENTRO DE ACTIVIDAD NO EXISTE!!!</v>
          </cell>
        </row>
        <row r="754">
          <cell r="B754" t="str">
            <v>RED SECUNDARIA REPOSICION</v>
          </cell>
        </row>
        <row r="755">
          <cell r="B755" t="str">
            <v>CENTRO DE ACTIVIDAD NO EXISTE!!!</v>
          </cell>
        </row>
        <row r="756">
          <cell r="B756" t="str">
            <v>PROYECTO CENTRO</v>
          </cell>
        </row>
        <row r="757">
          <cell r="B757" t="str">
            <v>EQUIPOS RED DE ACCESO</v>
          </cell>
        </row>
        <row r="758">
          <cell r="B758" t="str">
            <v>PROYECTO TELEVISION POR CABLE</v>
          </cell>
        </row>
        <row r="759">
          <cell r="B759" t="str">
            <v>RED PRIMARIA PLAN 95-99</v>
          </cell>
        </row>
        <row r="760">
          <cell r="B760" t="str">
            <v>CENTRO DE ACTIVIDAD NO EXISTE!!!</v>
          </cell>
        </row>
        <row r="761">
          <cell r="B761" t="str">
            <v>RED SECUNDARIA PLAN 95-99</v>
          </cell>
        </row>
        <row r="762">
          <cell r="B762" t="str">
            <v>CENTRO DE ACTIVIDAD NO EXISTE!!!</v>
          </cell>
        </row>
        <row r="763">
          <cell r="B763" t="str">
            <v>RED CANALIZACIONES PLAN 95-99</v>
          </cell>
        </row>
        <row r="764">
          <cell r="B764" t="str">
            <v>CENTRO DE ACTIVIDAD NO EXISTE!!!</v>
          </cell>
        </row>
        <row r="765">
          <cell r="B765" t="str">
            <v>PRESURIZACION</v>
          </cell>
        </row>
        <row r="766">
          <cell r="B766" t="str">
            <v>SISTEMATIZACION DANOS P.95-99</v>
          </cell>
        </row>
        <row r="767">
          <cell r="B767" t="str">
            <v>PLAN DE CONTINGENCIAS</v>
          </cell>
        </row>
        <row r="768">
          <cell r="B768" t="str">
            <v>DESPACHO CUADRILLAS P.95-99</v>
          </cell>
        </row>
        <row r="769">
          <cell r="B769" t="str">
            <v>LINEA ABONADOS PLAN 95-99</v>
          </cell>
        </row>
        <row r="770">
          <cell r="B770" t="str">
            <v>LINEA ABONADOS ORIENTE</v>
          </cell>
        </row>
        <row r="771">
          <cell r="B771" t="str">
            <v>TELS PUBLICOS SIN COBRO</v>
          </cell>
        </row>
        <row r="772">
          <cell r="B772" t="str">
            <v>CENTRO DE ACTIVIDAD NO EXISTE!!!</v>
          </cell>
        </row>
        <row r="773">
          <cell r="B773" t="str">
            <v>TELS PUBLICOS CON COBRO</v>
          </cell>
        </row>
        <row r="774">
          <cell r="B774" t="str">
            <v>CENTRO DE ACTIVIDAD NO EXISTE!!!</v>
          </cell>
        </row>
        <row r="775">
          <cell r="B775" t="str">
            <v>DESPACHO DE CUADRILLAS ORIENTE</v>
          </cell>
        </row>
        <row r="776">
          <cell r="B776" t="str">
            <v>COMUNICACION VIA RADIO</v>
          </cell>
        </row>
        <row r="777">
          <cell r="B777" t="str">
            <v>CAMBIOS RED PRIM Y SECUN P 95-99</v>
          </cell>
        </row>
        <row r="778">
          <cell r="B778" t="str">
            <v>CENTRO DE ACTIVIDAD NO EXISTE!!!</v>
          </cell>
        </row>
        <row r="779">
          <cell r="B779" t="str">
            <v>AJ X INFL VIA RADIO CONVENCIONAL</v>
          </cell>
        </row>
        <row r="780">
          <cell r="B780" t="str">
            <v>CENTRO DE ACTIVIDAD NO EXISTE!!!</v>
          </cell>
        </row>
        <row r="781">
          <cell r="B781" t="str">
            <v>ANTICIPOS PLAN MAESTRO DE INF.</v>
          </cell>
        </row>
        <row r="782">
          <cell r="B782" t="str">
            <v>CENTRO DE ACTIVIDAD NO EXISTE!!!</v>
          </cell>
        </row>
        <row r="783">
          <cell r="B783" t="str">
            <v>AJ POR INFL OTROS PROGRAMAS</v>
          </cell>
        </row>
        <row r="784">
          <cell r="B784" t="str">
            <v>CENTRO DE ACTIVIDAD NO EXISTE!!!</v>
          </cell>
        </row>
        <row r="785">
          <cell r="B785" t="str">
            <v>ANTICIPOS PROGRAMAS ESPECIALES</v>
          </cell>
        </row>
        <row r="786">
          <cell r="B786" t="str">
            <v>CENTRO DE ACTIVIDAD NO EXISTE!!!</v>
          </cell>
        </row>
        <row r="787">
          <cell r="B787" t="str">
            <v>CORREO DE VOZ</v>
          </cell>
        </row>
        <row r="788">
          <cell r="B788" t="str">
            <v>LARGA DISTANCIA</v>
          </cell>
        </row>
        <row r="789">
          <cell r="B789" t="str">
            <v>TRUNKING NACIONAL</v>
          </cell>
        </row>
        <row r="790">
          <cell r="B790" t="str">
            <v>RED METROPOLITANA DE DATOS</v>
          </cell>
        </row>
        <row r="791">
          <cell r="B791" t="str">
            <v>INTERNET</v>
          </cell>
        </row>
        <row r="792">
          <cell r="B792" t="str">
            <v>PROYECTO BOGOTA</v>
          </cell>
        </row>
        <row r="793">
          <cell r="B793" t="str">
            <v>PROYECTO RED FIBRA OPTICA TORRES ISA</v>
          </cell>
        </row>
        <row r="794">
          <cell r="B794" t="str">
            <v>CENTRO DE ACTIVIDAD NO EXISTE!!!</v>
          </cell>
        </row>
        <row r="795">
          <cell r="B795" t="str">
            <v>LINEAS PLAN 95-99</v>
          </cell>
        </row>
        <row r="796">
          <cell r="B796" t="str">
            <v>TRANSMISION PLAN 95-99</v>
          </cell>
        </row>
        <row r="797">
          <cell r="B797" t="str">
            <v>RDSI PLAN 95-99</v>
          </cell>
        </row>
        <row r="798">
          <cell r="B798" t="str">
            <v>EDIFICIOS PLAN MERCADEO</v>
          </cell>
        </row>
        <row r="799">
          <cell r="B799" t="str">
            <v>REPUESTOS EQUIPOS PRUEBA Y GENERACION</v>
          </cell>
        </row>
        <row r="800">
          <cell r="B800" t="str">
            <v>CENTRO DE ACTIVIDAD NO EXISTE!!!</v>
          </cell>
        </row>
        <row r="801">
          <cell r="B801" t="str">
            <v>CAPACITACION TELEFONOS</v>
          </cell>
        </row>
        <row r="802">
          <cell r="B802" t="str">
            <v>CENTRO DE ACTIVIDAD NO EXISTE!!!</v>
          </cell>
        </row>
        <row r="803">
          <cell r="B803" t="str">
            <v>DESPACHO DE CUADRILLAS</v>
          </cell>
        </row>
        <row r="804">
          <cell r="B804" t="str">
            <v>CENTRO DE ACTIVIDAD NO EXISTE!!!</v>
          </cell>
        </row>
        <row r="805">
          <cell r="B805" t="str">
            <v>ANTICIPO PROGRAMAS GENERALES</v>
          </cell>
        </row>
        <row r="806">
          <cell r="B806" t="str">
            <v>EDIFICIOS PLANTA INT P.95-99</v>
          </cell>
        </row>
        <row r="807">
          <cell r="B807" t="str">
            <v>CENTRO DE ACTIVIDAD NO EXISTE!!!</v>
          </cell>
        </row>
        <row r="808">
          <cell r="B808" t="str">
            <v>INTERCON ENTRE CENTRALES P 95-99</v>
          </cell>
        </row>
        <row r="809">
          <cell r="B809" t="str">
            <v>GABINETES INTERRUPTORES P.95-99</v>
          </cell>
        </row>
        <row r="810">
          <cell r="B810" t="str">
            <v>AIRE ACONDICIONADO PLAN 95-99</v>
          </cell>
        </row>
        <row r="811">
          <cell r="B811" t="str">
            <v>CENTRO DE ACTIVIDAD NO EXISTE!!!</v>
          </cell>
        </row>
        <row r="812">
          <cell r="B812" t="str">
            <v>EQUIPO FIJO ORIENTE</v>
          </cell>
        </row>
        <row r="813">
          <cell r="B813" t="str">
            <v>CENTRO DE ACTIVIDAD NO EXISTE!!!</v>
          </cell>
        </row>
        <row r="814">
          <cell r="B814" t="str">
            <v>ANTICIPOS TELEF PLAN 95-99</v>
          </cell>
        </row>
        <row r="815">
          <cell r="B815" t="str">
            <v>PLAN REPOSICION LINEAS</v>
          </cell>
        </row>
        <row r="816">
          <cell r="B816" t="str">
            <v>EQUIPOS TRANSMISION 35000 LINEAS</v>
          </cell>
        </row>
        <row r="817">
          <cell r="B817" t="str">
            <v>EQUIPOS COMPUTACION 98000 LINEAS</v>
          </cell>
        </row>
        <row r="818">
          <cell r="B818" t="str">
            <v>EQUIPOS TRANSMISION 98000 LINEAS</v>
          </cell>
        </row>
        <row r="819">
          <cell r="B819" t="str">
            <v>OTROS PLAN REVISION 95-99</v>
          </cell>
        </row>
        <row r="820">
          <cell r="B820" t="str">
            <v>CONMUTACION ESTRATOS BAJOS 2A. LINEA</v>
          </cell>
        </row>
        <row r="821">
          <cell r="B821" t="str">
            <v>CENTRO DE ACTIVIDAD NO EXISTE!!!</v>
          </cell>
        </row>
        <row r="822">
          <cell r="B822" t="str">
            <v>ANTICIPOS PLANTA GENERAL</v>
          </cell>
        </row>
        <row r="823">
          <cell r="B823" t="str">
            <v>CENTRO DE ACTIVIDAD NO EXISTE!!!</v>
          </cell>
        </row>
        <row r="824">
          <cell r="B824" t="str">
            <v>ANTICIPOS TELEFONOS PLAN 90-94</v>
          </cell>
        </row>
        <row r="825">
          <cell r="B825" t="str">
            <v>CENTRO DE ACTIVIDAD NO EXISTE!!!</v>
          </cell>
        </row>
        <row r="826">
          <cell r="B826" t="str">
            <v>INGENIERIA OTROS PROGRAMAS</v>
          </cell>
        </row>
        <row r="827">
          <cell r="B827" t="str">
            <v>INGENIERIA PLAN REPOSICION</v>
          </cell>
        </row>
        <row r="828">
          <cell r="B828" t="str">
            <v>GASTOS FROS. EXIMBANK PLAN 95-99</v>
          </cell>
        </row>
        <row r="829">
          <cell r="B829" t="str">
            <v>CENTRO DE ACTIVIDAD NO EXISTE!!!</v>
          </cell>
        </row>
        <row r="830">
          <cell r="B830" t="str">
            <v>GASTOS FINANCIEROS PLESSEY</v>
          </cell>
        </row>
        <row r="831">
          <cell r="B831" t="str">
            <v>CENTRO DE ACTIVIDAD NO EXISTE!!!</v>
          </cell>
        </row>
        <row r="832">
          <cell r="B832" t="str">
            <v>AJUSTES POR INFLACION ORIENTE</v>
          </cell>
        </row>
        <row r="833">
          <cell r="B833" t="str">
            <v>CENTRO DE ACTIVIDAD NO EXISTE!!!</v>
          </cell>
        </row>
        <row r="834">
          <cell r="B834" t="str">
            <v>AJUSTE PRESTAMO EXIMBANK (189K)</v>
          </cell>
        </row>
        <row r="835">
          <cell r="B835" t="str">
            <v>CENTRO DE ACTIVIDAD NO EXISTE!!!</v>
          </cell>
        </row>
        <row r="836">
          <cell r="B836" t="str">
            <v>AJUSTE PRESTAMO PLESSEY</v>
          </cell>
        </row>
        <row r="837">
          <cell r="B837" t="str">
            <v>CENTRO DE ACTIVIDAD NO EXISTE!!!</v>
          </cell>
        </row>
        <row r="838">
          <cell r="B838" t="str">
            <v>INGENIERIA PLAN DE DESARROLLO 2000-2002</v>
          </cell>
        </row>
        <row r="839">
          <cell r="B839" t="str">
            <v>AJUSTE PTMO. C. ITOH (161K)</v>
          </cell>
        </row>
        <row r="840">
          <cell r="B840" t="str">
            <v>INGENIERIA PLAN 1995-1999</v>
          </cell>
        </row>
        <row r="841">
          <cell r="B841" t="str">
            <v>INGENIERIA PROYECTO ORIENTE</v>
          </cell>
        </row>
        <row r="842">
          <cell r="B842" t="str">
            <v>CENTRO DE ACTIVIDAD NO EXISTE!!!</v>
          </cell>
        </row>
        <row r="843">
          <cell r="B843" t="str">
            <v>INGENIERIA TELEFONOS VIA RADIO</v>
          </cell>
        </row>
        <row r="844">
          <cell r="B844" t="str">
            <v>SUB O.C. CANALIZACIONES VARIAS</v>
          </cell>
        </row>
        <row r="845">
          <cell r="B845" t="str">
            <v>SUB O.C. VARIAS</v>
          </cell>
        </row>
        <row r="846">
          <cell r="B846" t="str">
            <v>SUB LA CABAÑA O. C. EXPANSION</v>
          </cell>
        </row>
        <row r="847">
          <cell r="B847" t="str">
            <v>SUB ITAGUI O. C. EXPANSION</v>
          </cell>
        </row>
        <row r="848">
          <cell r="B848" t="str">
            <v>SUB. YARUMAL II O.C. AMPLIACION</v>
          </cell>
        </row>
        <row r="849">
          <cell r="B849" t="str">
            <v>SUB. SAN ANTONIO OO. CC. AMPLIACION</v>
          </cell>
        </row>
        <row r="850">
          <cell r="B850" t="str">
            <v>SUB. RIONEGRO O.C. AMPLIACION</v>
          </cell>
        </row>
        <row r="851">
          <cell r="B851" t="str">
            <v>SUB. SANTA ROSA O.C. AMPLIACION</v>
          </cell>
        </row>
        <row r="852">
          <cell r="B852" t="str">
            <v>SUB. O.C. CANALIZACIONES ITAGUI</v>
          </cell>
        </row>
        <row r="853">
          <cell r="B853" t="str">
            <v>SUB. O.C. CANALIZACIONES CABA\A</v>
          </cell>
        </row>
        <row r="854">
          <cell r="B854" t="str">
            <v>SUB. O.C. CANALIZACIONES ORIENTE</v>
          </cell>
        </row>
        <row r="855">
          <cell r="B855" t="str">
            <v>EXPANSION REDES PRIMARIAS</v>
          </cell>
        </row>
        <row r="856">
          <cell r="B856" t="str">
            <v>REPOSICION REDES PRIMARIAS</v>
          </cell>
        </row>
        <row r="857">
          <cell r="B857" t="str">
            <v>RECTIFICACION REDES SECUNDARIAS</v>
          </cell>
        </row>
        <row r="858">
          <cell r="B858" t="str">
            <v>EST. REDES PRIMARIAS AISLAD.</v>
          </cell>
        </row>
        <row r="859">
          <cell r="B859" t="str">
            <v>CENTRO DE INFORMACION REDES</v>
          </cell>
        </row>
        <row r="860">
          <cell r="B860" t="str">
            <v>RECONSTRUCCION TRANSFORMADORES</v>
          </cell>
        </row>
        <row r="861">
          <cell r="B861" t="str">
            <v>AUTOMATIZACION DE LA DISTRIBUC</v>
          </cell>
        </row>
        <row r="862">
          <cell r="B862" t="str">
            <v>REDES OTRAS ENTIDADES</v>
          </cell>
        </row>
        <row r="863">
          <cell r="B863" t="str">
            <v>SUB. RIO CLARO 110KV EXPANSION</v>
          </cell>
        </row>
        <row r="864">
          <cell r="B864" t="str">
            <v>REDES SUBESTACION ORIENTE II</v>
          </cell>
        </row>
        <row r="865">
          <cell r="B865" t="str">
            <v>REDES SUB LA CABANA</v>
          </cell>
        </row>
        <row r="866">
          <cell r="B866" t="str">
            <v>REDES SUB. ITAGUI</v>
          </cell>
        </row>
        <row r="867">
          <cell r="B867" t="str">
            <v>CONTRATOS REDES ZONA SUR</v>
          </cell>
        </row>
        <row r="868">
          <cell r="B868" t="str">
            <v>CONTRATO RED AEREA</v>
          </cell>
        </row>
        <row r="869">
          <cell r="B869" t="str">
            <v>ESTUDIOS DISTRIBUCION ENERGIA</v>
          </cell>
        </row>
        <row r="870">
          <cell r="B870" t="str">
            <v>CONTRATOS REDES ZONA NORTE</v>
          </cell>
        </row>
        <row r="871">
          <cell r="B871" t="str">
            <v>SUB. RIO CLARO 110KV OC EXPANSION</v>
          </cell>
        </row>
        <row r="872">
          <cell r="B872" t="str">
            <v>SUB. RIONEGRO AMPLIACION</v>
          </cell>
        </row>
        <row r="873">
          <cell r="B873" t="str">
            <v>INGENIERIA DISTRIBUCION 95-2000</v>
          </cell>
        </row>
        <row r="874">
          <cell r="B874" t="str">
            <v>SUB. STA ROSA AMPLIACION</v>
          </cell>
        </row>
        <row r="875">
          <cell r="B875" t="str">
            <v>S/E SAN CRISTOBAL AMPLIACION</v>
          </cell>
        </row>
        <row r="876">
          <cell r="B876" t="str">
            <v>SUB YARUMAL AMPLIACION</v>
          </cell>
        </row>
        <row r="877">
          <cell r="B877" t="str">
            <v>SUB ITAGUI EXPANSION</v>
          </cell>
        </row>
        <row r="878">
          <cell r="B878" t="str">
            <v>SUB LA CABANA EXPANSION</v>
          </cell>
        </row>
        <row r="879">
          <cell r="B879" t="str">
            <v>SUB REP/RESP TRANSF POTENCIA</v>
          </cell>
        </row>
        <row r="880">
          <cell r="B880" t="str">
            <v>SUB REP/RESP INTERRUP SECCIONAD</v>
          </cell>
        </row>
        <row r="881">
          <cell r="B881" t="str">
            <v>SUB REP/RESP TRANSFORMAD MEDIDA</v>
          </cell>
        </row>
        <row r="882">
          <cell r="B882" t="str">
            <v>SUB REP/RESP PARARRAYOS</v>
          </cell>
        </row>
        <row r="883">
          <cell r="B883" t="str">
            <v>ANTICIPOS DISTRIBUCION 95 - 2000</v>
          </cell>
        </row>
        <row r="884">
          <cell r="B884" t="str">
            <v>SUB REFUERZO PROTECCIONES VARIAS</v>
          </cell>
        </row>
        <row r="885">
          <cell r="B885" t="str">
            <v>SUB REFUERZO PROTECC COMUNICAC.</v>
          </cell>
        </row>
        <row r="886">
          <cell r="B886" t="str">
            <v>SUB REP/RESP VARIAS</v>
          </cell>
        </row>
        <row r="887">
          <cell r="B887" t="str">
            <v>OBRAS CIVILES VARIAS PESD</v>
          </cell>
        </row>
        <row r="888">
          <cell r="B888" t="str">
            <v>SUBESTACION SANTA ANA</v>
          </cell>
        </row>
        <row r="889">
          <cell r="B889" t="str">
            <v>GASTOS FINANCIEROS DISTRIBUCION</v>
          </cell>
        </row>
        <row r="890">
          <cell r="B890" t="str">
            <v>EMPALME ZAMORA-CABANA-OCCIDENTE</v>
          </cell>
        </row>
        <row r="891">
          <cell r="B891" t="str">
            <v>EMPALME BELEN ITAGUI ANCON SUR</v>
          </cell>
        </row>
        <row r="892">
          <cell r="B892" t="str">
            <v>INTERCONEXION 110 KV SUB BELLO</v>
          </cell>
        </row>
        <row r="893">
          <cell r="B893" t="str">
            <v>AJ POR INFL PL EXP SUB DIST FUT</v>
          </cell>
        </row>
        <row r="894">
          <cell r="B894" t="str">
            <v>CENTRO DE ACTIVIDAD NO EXISTE!!!</v>
          </cell>
        </row>
        <row r="895">
          <cell r="B895" t="str">
            <v>INVERSIONES ANALISIS TECNICO</v>
          </cell>
        </row>
        <row r="896">
          <cell r="B896" t="str">
            <v>INVERSIONES Y MEJORAS ZONA METROPOLITANA</v>
          </cell>
        </row>
        <row r="897">
          <cell r="B897" t="str">
            <v>INVERSIONES Y MEJORAS ZONA GUADALUPE</v>
          </cell>
        </row>
        <row r="898">
          <cell r="B898" t="str">
            <v>INVERSIONES Y MEJORAS ZONA GUATAPE</v>
          </cell>
        </row>
        <row r="899">
          <cell r="B899" t="str">
            <v>INVERSIONES Y MEJORAS SECCION PLAYAS</v>
          </cell>
        </row>
        <row r="900">
          <cell r="B900" t="str">
            <v>INVERSIONES OPERACIÓN CENTRO CONTROL</v>
          </cell>
        </row>
        <row r="901">
          <cell r="B901" t="str">
            <v>INVERSIONES MANTENIMIENTO CENTRO CONTROL</v>
          </cell>
        </row>
        <row r="902">
          <cell r="B902" t="str">
            <v>REHABILITACION CENTRAL GUATAPE</v>
          </cell>
        </row>
        <row r="903">
          <cell r="B903" t="str">
            <v>PROYECTOS COMUNICACIONES</v>
          </cell>
        </row>
        <row r="904">
          <cell r="B904" t="str">
            <v>CENTRO DE ACTIVIDAD NO EXISTE!!!</v>
          </cell>
        </row>
        <row r="905">
          <cell r="B905" t="str">
            <v>EQUIPOS PROD ENERGIA FUTURO</v>
          </cell>
        </row>
        <row r="906">
          <cell r="B906" t="str">
            <v>REPOSIC EG TRON G1P 3 Y PB</v>
          </cell>
        </row>
        <row r="907">
          <cell r="B907" t="str">
            <v>MODERNIZACION GUATAPE</v>
          </cell>
        </row>
        <row r="908">
          <cell r="B908" t="str">
            <v>OBRAS VARIAS DIVISION TECNICA FUTURA</v>
          </cell>
        </row>
        <row r="909">
          <cell r="B909" t="str">
            <v>CENTRO DE ACTIVIDAD NO EXISTE!!!</v>
          </cell>
        </row>
        <row r="910">
          <cell r="B910" t="str">
            <v>OBRAS VARIAS MINICENTRAL PAJARITO</v>
          </cell>
        </row>
        <row r="911">
          <cell r="B911" t="str">
            <v>OBRAS VARIANTE MINICENTRAL DOLORES</v>
          </cell>
        </row>
        <row r="912">
          <cell r="B912" t="str">
            <v>DISENO PAJARITO DOLORES</v>
          </cell>
        </row>
        <row r="913">
          <cell r="B913" t="str">
            <v>CENTRO DE ACTIVIDAD NO EXISTE!!!</v>
          </cell>
        </row>
        <row r="914">
          <cell r="B914" t="str">
            <v>EQUIPOS MINICENTRAL PAJARITO</v>
          </cell>
        </row>
        <row r="915">
          <cell r="B915" t="str">
            <v>EQUIPOS MINICENTRAL DOLORES</v>
          </cell>
        </row>
        <row r="916">
          <cell r="B916" t="str">
            <v>INTERVENTORIA PAJARITO DOLORES</v>
          </cell>
        </row>
        <row r="917">
          <cell r="B917" t="str">
            <v>INGEN. Y ADMON. MINICENTRALES</v>
          </cell>
        </row>
        <row r="918">
          <cell r="B918" t="str">
            <v>CENTRO DE ACTIVIDAD NO EXISTE!!!</v>
          </cell>
        </row>
        <row r="919">
          <cell r="B919" t="str">
            <v>ANTICIPO MINICENTRALES PAJARITO DOLORES</v>
          </cell>
        </row>
        <row r="920">
          <cell r="B920" t="str">
            <v>CENTRO DE ACTIVIDAD NO EXISTE!!!</v>
          </cell>
        </row>
        <row r="921">
          <cell r="B921" t="str">
            <v>ANTIC GENERACION Y REPOS. EQ. FUTUROS</v>
          </cell>
        </row>
        <row r="922">
          <cell r="B922" t="str">
            <v>CENTRO DE ACTIVIDAD NO EXISTE!!!</v>
          </cell>
        </row>
        <row r="923">
          <cell r="B923" t="str">
            <v>ING. Y ADMON. GENER. Y REP. EQUIPOS FUT.</v>
          </cell>
        </row>
        <row r="924">
          <cell r="B924" t="str">
            <v>CENTRO DE ACTIVIDAD NO EXISTE!!!</v>
          </cell>
        </row>
        <row r="925">
          <cell r="B925" t="str">
            <v>ING PLAN REDUCC PERDIDAS 95 - 2000</v>
          </cell>
        </row>
        <row r="926">
          <cell r="B926" t="str">
            <v>INSTALACION CONTADORES H.V. PERDIDAS</v>
          </cell>
        </row>
        <row r="927">
          <cell r="B927" t="str">
            <v>CONTADORES SECCION MEDICION</v>
          </cell>
        </row>
        <row r="928">
          <cell r="B928" t="str">
            <v>INSTALACION CONTADORES H.V.</v>
          </cell>
        </row>
        <row r="929">
          <cell r="B929" t="str">
            <v>INSTALACION CONTADORES PRPF</v>
          </cell>
        </row>
        <row r="930">
          <cell r="B930" t="str">
            <v>REDES PRIMARIAS HV</v>
          </cell>
        </row>
        <row r="931">
          <cell r="B931" t="str">
            <v>REDES SECUNDARIAS HV</v>
          </cell>
        </row>
        <row r="932">
          <cell r="B932" t="str">
            <v>TRANSFORMADORES HV</v>
          </cell>
        </row>
        <row r="933">
          <cell r="B933" t="str">
            <v>EXPANSION REDES D.E.N.</v>
          </cell>
        </row>
        <row r="934">
          <cell r="B934" t="str">
            <v>EXPANSION REDES D.E.C.</v>
          </cell>
        </row>
        <row r="935">
          <cell r="B935" t="str">
            <v>EXPANSION REDES D.E.S.</v>
          </cell>
        </row>
        <row r="936">
          <cell r="B936" t="str">
            <v>LEVANT. INFORMACION DISTRIBUCION</v>
          </cell>
        </row>
        <row r="937">
          <cell r="B937" t="str">
            <v>CONTRATOS UNIDAD GESTION Y ANALISIS D.E.</v>
          </cell>
        </row>
        <row r="938">
          <cell r="B938" t="str">
            <v>CONTRATOS DEPTO. CONTROL ENERGIA</v>
          </cell>
        </row>
        <row r="939">
          <cell r="B939" t="str">
            <v>CENTRO DE ACTIVIDAD NO EXISTE!!!</v>
          </cell>
        </row>
        <row r="940">
          <cell r="B940" t="str">
            <v>PILAS PUBLICAS</v>
          </cell>
        </row>
        <row r="941">
          <cell r="B941" t="str">
            <v>RECONSTRUCCION TRANSFORMADOR BARBOSA</v>
          </cell>
        </row>
        <row r="942">
          <cell r="B942" t="str">
            <v>CENTRO DE ACTIVIDAD NO EXISTE!!!</v>
          </cell>
        </row>
        <row r="943">
          <cell r="B943" t="str">
            <v>SISTEMA TELEMEDIDA DISTRIBUCION</v>
          </cell>
        </row>
        <row r="944">
          <cell r="B944" t="str">
            <v>SIST TELEMEDIDA GENERACION</v>
          </cell>
        </row>
        <row r="945">
          <cell r="B945" t="str">
            <v>SUB CENTRO CONTROL TELEMEDIDA D.</v>
          </cell>
        </row>
        <row r="946">
          <cell r="B946" t="str">
            <v>SUB CENTRO CONTROL TELEMEDIDA G.</v>
          </cell>
        </row>
        <row r="947">
          <cell r="B947" t="str">
            <v>CENTRO DE ACTIVIDAD NO EXISTE!!!</v>
          </cell>
        </row>
        <row r="948">
          <cell r="B948" t="str">
            <v>INGENIERIA TELEMEDIDA</v>
          </cell>
        </row>
        <row r="949">
          <cell r="B949" t="str">
            <v>OBRAS CIVILES SIST. TELEMEDIDA DISTRIB</v>
          </cell>
        </row>
        <row r="950">
          <cell r="B950" t="str">
            <v>OBRAS CIVILES SIST. TELEMEDIDA GENERACION</v>
          </cell>
        </row>
        <row r="951">
          <cell r="B951" t="str">
            <v>CENTRO DE ACTIVIDAD NO EXISTE!!!</v>
          </cell>
        </row>
        <row r="952">
          <cell r="B952" t="str">
            <v>CONSULTORIA TELEMEDIDA DISTRIBUCION</v>
          </cell>
        </row>
        <row r="953">
          <cell r="B953" t="str">
            <v>CONSULTORIA TELEMEDIDA GENERACION</v>
          </cell>
        </row>
        <row r="954">
          <cell r="B954" t="str">
            <v>CENTRO DE ACTIVIDAD NO EXISTE!!!</v>
          </cell>
        </row>
        <row r="955">
          <cell r="B955" t="str">
            <v>ANT REDUCCION PERDIDAS FUTURO</v>
          </cell>
        </row>
        <row r="956">
          <cell r="B956" t="str">
            <v>CENTRO DE ACTIVIDAD NO EXISTE!!!</v>
          </cell>
        </row>
        <row r="957">
          <cell r="B957" t="str">
            <v>GASTOS FCIEROS. P.R.P.F.</v>
          </cell>
        </row>
        <row r="958">
          <cell r="B958" t="str">
            <v>CENTRO DE ACTIVIDAD NO EXISTE!!!</v>
          </cell>
        </row>
        <row r="959">
          <cell r="B959" t="str">
            <v>AJ POR INFL PL RED PERD FUT</v>
          </cell>
        </row>
        <row r="960">
          <cell r="B960" t="str">
            <v>CONTR. PRESTACION SERVICIOS REDES</v>
          </cell>
        </row>
        <row r="961">
          <cell r="B961" t="str">
            <v>CENTRO DE ACTIVIDAD NO EXISTE!!!</v>
          </cell>
        </row>
        <row r="962">
          <cell r="B962" t="str">
            <v>OBRA PUBLICA ZONA NORTE</v>
          </cell>
        </row>
        <row r="963">
          <cell r="B963" t="str">
            <v>OBRA PUBLICA ZONA SUR</v>
          </cell>
        </row>
        <row r="964">
          <cell r="B964" t="str">
            <v>CONTRATOS REPARACION DANOS</v>
          </cell>
        </row>
        <row r="965">
          <cell r="B965" t="str">
            <v>OBRA PUBLICA ZONA SUR ALUMBRADO PUBLICO</v>
          </cell>
        </row>
        <row r="966">
          <cell r="B966" t="str">
            <v>CONTRATOS MANTENIMIENTO</v>
          </cell>
        </row>
        <row r="967">
          <cell r="B967" t="str">
            <v>CLIENTES ALUMBRADO PUBLICO</v>
          </cell>
        </row>
        <row r="968">
          <cell r="B968" t="str">
            <v>ATENCION CLIENTE MMTO. PREVENTIVO RURAL</v>
          </cell>
        </row>
        <row r="969">
          <cell r="B969" t="str">
            <v>CONTRATO REDES SUBTERRANEAS</v>
          </cell>
        </row>
        <row r="970">
          <cell r="B970" t="str">
            <v>SERVICIOS EXTERNOS NORTE</v>
          </cell>
        </row>
        <row r="971">
          <cell r="B971" t="str">
            <v>SERVICIOS EXTERNOS SUR</v>
          </cell>
        </row>
        <row r="972">
          <cell r="B972" t="str">
            <v>SERVICIOS EXTERNOS CENTRO</v>
          </cell>
        </row>
        <row r="973">
          <cell r="B973" t="str">
            <v>CENTRO DE ACTIVIDAD NO EXISTE!!!</v>
          </cell>
        </row>
        <row r="974">
          <cell r="B974" t="str">
            <v>PORTAFOLIO SERV. UN. CONTROLES Y PROTEC.</v>
          </cell>
        </row>
        <row r="975">
          <cell r="B975" t="str">
            <v>PORTAFOLIO SERVICIOS DEPTO. MTTO. SUBES.</v>
          </cell>
        </row>
        <row r="976">
          <cell r="B976" t="str">
            <v>PORTAFOLIO SERVICIOS DEPTO MTTO. EQUIPOS</v>
          </cell>
        </row>
        <row r="977">
          <cell r="B977" t="str">
            <v>PORTAFOLIO SERVICIOS EQUIPOS DE MEDIDA</v>
          </cell>
        </row>
        <row r="978">
          <cell r="B978" t="str">
            <v>PORTAFOLIO SERVICIOS LINEA PREFERENCIAL</v>
          </cell>
        </row>
        <row r="979">
          <cell r="B979" t="str">
            <v>PORTAFOLIO SERVICIOS DIVISION MONTALES</v>
          </cell>
        </row>
        <row r="980">
          <cell r="B980" t="str">
            <v>CENTRO DE ACTIVIDAD NO EXISTE!!!</v>
          </cell>
        </row>
        <row r="981">
          <cell r="B981" t="str">
            <v>INTERVENTORIA DISTRIBUCION GAS</v>
          </cell>
        </row>
        <row r="982">
          <cell r="B982" t="str">
            <v>DISENO DISTRIB Y CONTROL GAS</v>
          </cell>
        </row>
        <row r="983">
          <cell r="B983" t="str">
            <v>CENTRO DE ACTIVIDAD NO EXISTE!!!</v>
          </cell>
        </row>
        <row r="984">
          <cell r="B984" t="str">
            <v>INGENIERIA PROYECTO GAS</v>
          </cell>
        </row>
        <row r="985">
          <cell r="B985" t="str">
            <v>CENTRO DE ACTIVIDAD NO EXISTE!!!</v>
          </cell>
        </row>
        <row r="986">
          <cell r="B986" t="str">
            <v>CENTRO CONTROL EQUIPOS</v>
          </cell>
        </row>
        <row r="987">
          <cell r="B987" t="str">
            <v>TUBERIA CENTRAL ACERO ACCESOR</v>
          </cell>
        </row>
        <row r="988">
          <cell r="B988" t="str">
            <v>ESTACION EQUIPOS</v>
          </cell>
        </row>
        <row r="989">
          <cell r="B989" t="str">
            <v>CENTRO DE ACTIVIDAD NO EXISTE!!!</v>
          </cell>
        </row>
        <row r="990">
          <cell r="B990" t="str">
            <v>REDES DISTRIBUCION MEDIA PRESION</v>
          </cell>
        </row>
        <row r="991">
          <cell r="B991" t="str">
            <v>CENTRO DE ACTIVIDAD NO EXISTE!!!</v>
          </cell>
        </row>
        <row r="992">
          <cell r="B992" t="str">
            <v>OBRA CIVIL CENTRO DE CONTROL</v>
          </cell>
        </row>
        <row r="993">
          <cell r="B993" t="str">
            <v>OBRA CIVIL ESTAC TERMINALES</v>
          </cell>
        </row>
        <row r="994">
          <cell r="B994" t="str">
            <v>OBRA CIVIL TUBERIA CENTRAL ACERO</v>
          </cell>
        </row>
        <row r="995">
          <cell r="B995" t="str">
            <v>CENTRO DE ACTIVIDAD NO EXISTE!!!</v>
          </cell>
        </row>
        <row r="996">
          <cell r="B996" t="str">
            <v>REDES PLAN PILOTO GAS HV</v>
          </cell>
        </row>
        <row r="997">
          <cell r="B997" t="str">
            <v>MEDIDORES GAS</v>
          </cell>
        </row>
        <row r="998">
          <cell r="B998" t="str">
            <v>CENTRO DE ACTIVIDAD NO EXISTE!!!</v>
          </cell>
        </row>
        <row r="999">
          <cell r="B999" t="str">
            <v>DESPACHO CUADRILLAS GAS</v>
          </cell>
        </row>
        <row r="1000">
          <cell r="B1000" t="str">
            <v>CENTRO DE ACTIVIDAD NO EXISTE!!!</v>
          </cell>
        </row>
        <row r="1001">
          <cell r="B1001" t="str">
            <v>MASIFICACION GAS</v>
          </cell>
        </row>
        <row r="1002">
          <cell r="B1002" t="str">
            <v>CENTRO DE ACTIVIDAD NO EXISTE!!!</v>
          </cell>
        </row>
        <row r="1003">
          <cell r="B1003" t="str">
            <v>ANTICIPOS PROYECTO GAS</v>
          </cell>
        </row>
        <row r="1004">
          <cell r="B1004" t="str">
            <v>GASTOS FROS FONADE GAS</v>
          </cell>
        </row>
        <row r="1005">
          <cell r="B1005" t="str">
            <v>GASTOS FINANANCIEROS GAS EXIMBANK.</v>
          </cell>
        </row>
        <row r="1006">
          <cell r="B1006" t="str">
            <v>GASTOS FINANCIEROS CITIBANK-GAS</v>
          </cell>
        </row>
        <row r="1007">
          <cell r="B1007" t="str">
            <v>CENTRO DE ACTIVIDAD NO EXISTE!!!</v>
          </cell>
        </row>
        <row r="1008">
          <cell r="B1008" t="str">
            <v>AJ POR INFL PROYECTO GAS</v>
          </cell>
        </row>
        <row r="1009">
          <cell r="B1009" t="str">
            <v>AJUSTES POR DIFERENCIA EN CAMBIO</v>
          </cell>
        </row>
        <row r="1010">
          <cell r="B1010" t="str">
            <v>CENTRO DE ACTIVIDAD NO EXISTE!!!</v>
          </cell>
        </row>
        <row r="1011">
          <cell r="B1011" t="str">
            <v>SUB EL SAALTO 220 KV O. C. EXPANSION</v>
          </cell>
        </row>
        <row r="1012">
          <cell r="B1012" t="str">
            <v>SUB BELLO 220 KV O. C. EXPANSION</v>
          </cell>
        </row>
        <row r="1013">
          <cell r="B1013" t="str">
            <v>SUB BARBOSA 220 KV O. C. AMPLIACION</v>
          </cell>
        </row>
        <row r="1014">
          <cell r="B1014" t="str">
            <v>SUB GUADALUPE IV 220 KV O. C. AMPLIAC.</v>
          </cell>
        </row>
        <row r="1015">
          <cell r="B1015" t="str">
            <v>SUB COLOMBIA 110 KV O.C. AMPLIAC</v>
          </cell>
        </row>
        <row r="1016">
          <cell r="B1016" t="str">
            <v>SUB GIRARDOTA 110 KV O.C. AMPLIAC.</v>
          </cell>
        </row>
        <row r="1017">
          <cell r="B1017" t="str">
            <v>SUB. MALENA 220KV OC RECONFIG.</v>
          </cell>
        </row>
        <row r="1018">
          <cell r="B1018" t="str">
            <v>SUB. MALENA 220KV RECONFIG.</v>
          </cell>
        </row>
        <row r="1019">
          <cell r="B1019" t="str">
            <v>CENTRO DE ACTIVIDAD NO EXISTE!!!</v>
          </cell>
        </row>
        <row r="1020">
          <cell r="B1020" t="str">
            <v>EMPALME BELLO P.BLANCAS VILLA HERMOSA</v>
          </cell>
        </row>
        <row r="1021">
          <cell r="B1021" t="str">
            <v>EMPALME RIOGRANDE GIRARDOTA PL BIENAL</v>
          </cell>
        </row>
        <row r="1022">
          <cell r="B1022" t="str">
            <v>EMPALME OCC COLOMBIA P. BLANCAS</v>
          </cell>
        </row>
        <row r="1023">
          <cell r="B1023" t="str">
            <v>LIN EL SALTO BARBOSA C.T. 220 KV</v>
          </cell>
        </row>
        <row r="1024">
          <cell r="B1024" t="str">
            <v>LINEA TASAJERA BELLO 220 KV</v>
          </cell>
        </row>
        <row r="1025">
          <cell r="B1025" t="str">
            <v>CENTRO DE ACTIVIDAD NO EXISTE!!!</v>
          </cell>
        </row>
        <row r="1026">
          <cell r="B1026" t="str">
            <v>LINEA EL SALTO-YARUMAL I Y II</v>
          </cell>
        </row>
        <row r="1027">
          <cell r="B1027" t="str">
            <v>CENTRO DE ACTIVIDAD NO EXISTE!!!</v>
          </cell>
        </row>
        <row r="1028">
          <cell r="B1028" t="str">
            <v>LINEA GUADALUPE IV-SALTO III REPLANTEO</v>
          </cell>
        </row>
        <row r="1029">
          <cell r="B1029" t="str">
            <v>ING.EXP,TRANS,TRANSF 91-2000</v>
          </cell>
        </row>
        <row r="1030">
          <cell r="B1030" t="str">
            <v>CENTRO DE ACTIVIDAD NO EXISTE!!!</v>
          </cell>
        </row>
        <row r="1031">
          <cell r="B1031" t="str">
            <v>GASTOS FCIEROS EXP,TRAS,TRANSF</v>
          </cell>
        </row>
        <row r="1032">
          <cell r="B1032" t="str">
            <v>CENTRO DE ACTIVIDAD NO EXISTE!!!</v>
          </cell>
        </row>
        <row r="1033">
          <cell r="B1033" t="str">
            <v>SUB EL SALTO 220 KV EXPANSION</v>
          </cell>
        </row>
        <row r="1034">
          <cell r="B1034" t="str">
            <v>SUB BELLO 220 KV EXPANSION</v>
          </cell>
        </row>
        <row r="1035">
          <cell r="B1035" t="str">
            <v>SUB BARBOSA 220 KV AMPLIACION</v>
          </cell>
        </row>
        <row r="1036">
          <cell r="B1036" t="str">
            <v>SUB GUADALUPE IV 220 KV AMPLIACION</v>
          </cell>
        </row>
        <row r="1037">
          <cell r="B1037" t="str">
            <v>SUB COLOMBIA 110 KV AMPLIACION</v>
          </cell>
        </row>
        <row r="1038">
          <cell r="B1038" t="str">
            <v>SUB GIRARDOTA 110 KV AMPLIACION</v>
          </cell>
        </row>
        <row r="1039">
          <cell r="B1039" t="str">
            <v>SUB REP/RESP PARARRAYOS</v>
          </cell>
        </row>
        <row r="1040">
          <cell r="B1040" t="str">
            <v>SUB REP/RESP TRANSFORMAD MEDIDA</v>
          </cell>
        </row>
        <row r="1041">
          <cell r="B1041" t="str">
            <v>SUB REP/RESP TRANSFORMAD POTENCIA</v>
          </cell>
        </row>
        <row r="1042">
          <cell r="B1042" t="str">
            <v>SUB REP/RESP INTERRUPT. SECCIONAD.</v>
          </cell>
        </row>
        <row r="1043">
          <cell r="B1043" t="str">
            <v>SUB REP/RESP VARIOS</v>
          </cell>
        </row>
        <row r="1044">
          <cell r="B1044" t="str">
            <v>SUB REFUERZOS PROTECC. VARIOS</v>
          </cell>
        </row>
        <row r="1045">
          <cell r="B1045" t="str">
            <v>SUB RESPALDO MICROONDAS FIBRA OPTICA</v>
          </cell>
        </row>
        <row r="1046">
          <cell r="B1046" t="str">
            <v>SUB RESPALDO CENETRO DE CONTROL</v>
          </cell>
        </row>
        <row r="1047">
          <cell r="B1047" t="str">
            <v>SUB SISTEMA ANTINCENDIO</v>
          </cell>
        </row>
        <row r="1048">
          <cell r="B1048" t="str">
            <v>OBRAS VARIAS DE TRANSMISION</v>
          </cell>
        </row>
        <row r="1049">
          <cell r="B1049" t="str">
            <v>S/E BELEN BANCO COMPENSACION REACTIVA</v>
          </cell>
        </row>
        <row r="1050">
          <cell r="B1050" t="str">
            <v>S/E MALENA REMODELACION Y AMPLIACION</v>
          </cell>
        </row>
        <row r="1051">
          <cell r="B1051" t="str">
            <v>CENTRO DE ACTIVIDAD NO EXISTE!!!</v>
          </cell>
        </row>
        <row r="1052">
          <cell r="B1052" t="str">
            <v>AJUSTE PRESTAMO</v>
          </cell>
        </row>
        <row r="1053">
          <cell r="B1053" t="str">
            <v>GASTOS FINANCIEROS</v>
          </cell>
        </row>
        <row r="1054">
          <cell r="B1054" t="str">
            <v>AJ POR INFL TRANS Y TRANSF FUTURO</v>
          </cell>
        </row>
        <row r="1055">
          <cell r="B1055" t="str">
            <v>ANTICIPOS TRANSM Y TRANSF FUTURO</v>
          </cell>
        </row>
        <row r="1056">
          <cell r="B1056" t="str">
            <v>CENTRO DE ACTIVIDAD NO EXISTE!!!</v>
          </cell>
        </row>
        <row r="1057">
          <cell r="B1057" t="str">
            <v>ANTICIPOS PLAYAS</v>
          </cell>
        </row>
        <row r="1058">
          <cell r="B1058" t="str">
            <v>CENTRO DE ACTIVIDAD NO EXISTE!!!</v>
          </cell>
        </row>
        <row r="1059">
          <cell r="B1059" t="str">
            <v>DISENOS PORCE II</v>
          </cell>
        </row>
        <row r="1060">
          <cell r="B1060" t="str">
            <v>ESTUDIOS AMBIENTALES PORCE II</v>
          </cell>
        </row>
        <row r="1061">
          <cell r="B1061" t="str">
            <v>INTERVENTORIA PORCE II</v>
          </cell>
        </row>
        <row r="1062">
          <cell r="B1062" t="str">
            <v>CENTRO DE ACTIVIDAD NO EXISTE!!!</v>
          </cell>
        </row>
        <row r="1063">
          <cell r="B1063" t="str">
            <v>ASESORES PORCE II</v>
          </cell>
        </row>
        <row r="1064">
          <cell r="B1064" t="str">
            <v>TIERRAS Y SERVIDUMBRES PORCE II</v>
          </cell>
        </row>
        <row r="1065">
          <cell r="B1065" t="str">
            <v>INGENIERIA Y ADMON. PORCE II</v>
          </cell>
        </row>
        <row r="1066">
          <cell r="B1066" t="str">
            <v>DISENOS TRANSM ASOCIADA PORCE II</v>
          </cell>
        </row>
        <row r="1067">
          <cell r="B1067" t="str">
            <v>PROGRAMA CAPACITACION BID PORCE</v>
          </cell>
        </row>
        <row r="1068">
          <cell r="B1068" t="str">
            <v>INFRAEST CAMPAMENTOS PORCE II</v>
          </cell>
        </row>
        <row r="1069">
          <cell r="B1069" t="str">
            <v>CENTRO DE ACTIVIDAD NO EXISTE!!!</v>
          </cell>
        </row>
        <row r="1070">
          <cell r="B1070" t="str">
            <v>INFRAEST CARRET DE ACC PORCE II</v>
          </cell>
        </row>
        <row r="1071">
          <cell r="B1071" t="str">
            <v>CENTRO DE ACTIVIDAD NO EXISTE!!!</v>
          </cell>
        </row>
        <row r="1072">
          <cell r="B1072" t="str">
            <v>PRESA Y VERT PORCE II</v>
          </cell>
        </row>
        <row r="1073">
          <cell r="B1073" t="str">
            <v>CENTRO DE ACTIVIDAD NO EXISTE!!!</v>
          </cell>
        </row>
        <row r="1074">
          <cell r="B1074" t="str">
            <v>OBRAS SUBTERRANEAS PORCE II</v>
          </cell>
        </row>
        <row r="1075">
          <cell r="B1075" t="str">
            <v>CENTRO DE ACTIVIDAD NO EXISTE!!!</v>
          </cell>
        </row>
        <row r="1076">
          <cell r="B1076" t="str">
            <v>SUBESTACION PORCE II</v>
          </cell>
        </row>
        <row r="1077">
          <cell r="B1077" t="str">
            <v>CENTRO DE ACTIVIDAD NO EXISTE!!!</v>
          </cell>
        </row>
        <row r="1078">
          <cell r="B1078" t="str">
            <v>LINEAS DE TRANSMISION PORCE II</v>
          </cell>
        </row>
        <row r="1079">
          <cell r="B1079" t="str">
            <v>CENTRO DE ACTIVIDAD NO EXISTE!!!</v>
          </cell>
        </row>
        <row r="1080">
          <cell r="B1080" t="str">
            <v>OBRAS SUSTITUTIVAS PORCE II</v>
          </cell>
        </row>
        <row r="1081">
          <cell r="B1081" t="str">
            <v>CENTRO DE ACTIVIDAD NO EXISTE!!!</v>
          </cell>
        </row>
        <row r="1082">
          <cell r="B1082" t="str">
            <v>OB PROTECC MEDIO AMB PORCE II</v>
          </cell>
        </row>
        <row r="1083">
          <cell r="B1083" t="str">
            <v>CENTRO DE ACTIVIDAD NO EXISTE!!!</v>
          </cell>
        </row>
        <row r="1084">
          <cell r="B1084" t="str">
            <v>EQUIPOS INFRAESTRUCTURA PORCE II</v>
          </cell>
        </row>
        <row r="1085">
          <cell r="B1085" t="str">
            <v>TURBINAS Y ASOCIADOS PORCE II</v>
          </cell>
        </row>
        <row r="1086">
          <cell r="B1086" t="str">
            <v>COMPUERTAS PORCE II</v>
          </cell>
        </row>
        <row r="1087">
          <cell r="B1087" t="str">
            <v>GENERADORES Y ASOCIADOS PORCE II</v>
          </cell>
        </row>
        <row r="1088">
          <cell r="B1088" t="str">
            <v>CENTRO DE ACTIVIDAD NO EXISTE!!!</v>
          </cell>
        </row>
        <row r="1089">
          <cell r="B1089" t="str">
            <v>TRANSFORMADORES PORCE II</v>
          </cell>
        </row>
        <row r="1090">
          <cell r="B1090" t="str">
            <v>CENTRO DE ACTIVIDAD NO EXISTE!!!</v>
          </cell>
        </row>
        <row r="1091">
          <cell r="B1091" t="str">
            <v>BLIND TUNEL Y DISTRIBUID PORC II</v>
          </cell>
        </row>
        <row r="1092">
          <cell r="B1092" t="str">
            <v>CENTRO DE ACTIVIDAD NO EXISTE!!!</v>
          </cell>
        </row>
        <row r="1093">
          <cell r="B1093" t="str">
            <v>EQUIP SECUNDARIOS ELECT PORCE II</v>
          </cell>
        </row>
        <row r="1094">
          <cell r="B1094" t="str">
            <v>EQUIPOS SECUND MECAN PORCE II</v>
          </cell>
        </row>
        <row r="1095">
          <cell r="B1095" t="str">
            <v>EQUIPOS SUBESTACION PORCE II</v>
          </cell>
        </row>
        <row r="1096">
          <cell r="B1096" t="str">
            <v>CENTRO DE ACTIVIDAD NO EXISTE!!!</v>
          </cell>
        </row>
        <row r="1097">
          <cell r="B1097" t="str">
            <v>EQ LINEAS TRANSMISION PORCE II</v>
          </cell>
        </row>
        <row r="1098">
          <cell r="B1098" t="str">
            <v>CENTRO DE ACTIVIDAD NO EXISTE!!!</v>
          </cell>
        </row>
        <row r="1099">
          <cell r="B1099" t="str">
            <v>INVERSION DE MERCADO NO REGULADO Y P.</v>
          </cell>
        </row>
        <row r="1100">
          <cell r="B1100" t="str">
            <v>EQUIPOS DE CONTROL PORCE II</v>
          </cell>
        </row>
        <row r="1101">
          <cell r="B1101" t="str">
            <v>PROG REDUCC PERD Y USO RAC ENE</v>
          </cell>
        </row>
        <row r="1102">
          <cell r="B1102" t="str">
            <v>CENTRO DE ACTIVIDAD NO EXISTE!!!</v>
          </cell>
        </row>
        <row r="1103">
          <cell r="B1103" t="str">
            <v>ANTICIPOS PORCE II</v>
          </cell>
        </row>
        <row r="1104">
          <cell r="B1104" t="str">
            <v>PTMO FONADE PORCE II</v>
          </cell>
        </row>
        <row r="1105">
          <cell r="B1105" t="str">
            <v>PRESTAMO BID PORCE II</v>
          </cell>
        </row>
        <row r="1106">
          <cell r="B1106" t="str">
            <v>PRESTAMO BID PORCE DISTRIBUCION</v>
          </cell>
        </row>
        <row r="1107">
          <cell r="B1107" t="str">
            <v>CENTRO DE ACTIVIDAD NO EXISTE!!!</v>
          </cell>
        </row>
        <row r="1108">
          <cell r="B1108" t="str">
            <v>ANTICIPOS PORCE II TRANSMISION</v>
          </cell>
        </row>
        <row r="1109">
          <cell r="B1109" t="str">
            <v>CENTRO DE ACTIVIDAD NO EXISTE!!!</v>
          </cell>
        </row>
        <row r="1110">
          <cell r="B1110" t="str">
            <v>AJUSTE PRESTAMO BID PORCE II</v>
          </cell>
        </row>
        <row r="1111">
          <cell r="B1111" t="str">
            <v>AJUSTE PRESTAMO BID-PORCE II-DISTRIB.</v>
          </cell>
        </row>
        <row r="1112">
          <cell r="B1112" t="str">
            <v>CENTRO DE ACTIVIDAD NO EXISTE!!!</v>
          </cell>
        </row>
        <row r="1113">
          <cell r="B1113" t="str">
            <v>ESTUDIOS EXP TRANSM DISTRIBUCION</v>
          </cell>
        </row>
        <row r="1114">
          <cell r="B1114" t="str">
            <v>CENTRO DE ACTIVIDAD NO EXISTE!!!</v>
          </cell>
        </row>
        <row r="1115">
          <cell r="B1115" t="str">
            <v>SUBESTACION PIEDRAS BLANCAS EQUIPOS</v>
          </cell>
        </row>
        <row r="1116">
          <cell r="B1116" t="str">
            <v>CENTRO DE ACTIVIDAD NO EXISTE!!!</v>
          </cell>
        </row>
        <row r="1117">
          <cell r="B1117" t="str">
            <v>SUBESTACION GIRARDOTA EQUIPOS</v>
          </cell>
        </row>
        <row r="1118">
          <cell r="B1118" t="str">
            <v>CENTRO DE ACTIVIDAD NO EXISTE!!!</v>
          </cell>
        </row>
        <row r="1119">
          <cell r="B1119" t="str">
            <v>ING PLAN REDUCC PERDIDA</v>
          </cell>
        </row>
        <row r="1120">
          <cell r="B1120" t="str">
            <v>CENTRO DE ACTIVIDAD NO EXISTE!!!</v>
          </cell>
        </row>
        <row r="1121">
          <cell r="B1121" t="str">
            <v>SUBESTACIÓN MALENA EQUIPOS</v>
          </cell>
        </row>
        <row r="1122">
          <cell r="B1122" t="str">
            <v>CENTRO DE ACTIVIDAD NO EXISTE!!!</v>
          </cell>
        </row>
        <row r="1123">
          <cell r="B1123" t="str">
            <v>ANTICIPOS EXP TRANSMISION Y DISTRIBUCION</v>
          </cell>
        </row>
        <row r="1124">
          <cell r="B1124" t="str">
            <v>SUBESTACION CALDAS EQUIPOS</v>
          </cell>
        </row>
        <row r="1125">
          <cell r="B1125" t="str">
            <v>CENTRO DE ACTIVIDAD NO EXISTE!!!</v>
          </cell>
        </row>
        <row r="1126">
          <cell r="B1126" t="str">
            <v>ANT REDUCCION PERDIDAS</v>
          </cell>
        </row>
        <row r="1127">
          <cell r="B1127" t="str">
            <v>CENTRO DE ACTIVIDAD NO EXISTE!!!</v>
          </cell>
        </row>
        <row r="1128">
          <cell r="B1128" t="str">
            <v>PRESTAMO FEN-EXIMBANK TRANS Y DISTRIBUC.</v>
          </cell>
        </row>
        <row r="1129">
          <cell r="B1129" t="str">
            <v>CENTRO DE ACTIVIDAD NO EXISTE!!!</v>
          </cell>
        </row>
        <row r="1130">
          <cell r="B1130" t="str">
            <v>AJUSTE PTMO EXIMBANK TRANS Y DISTRIBUCION</v>
          </cell>
        </row>
        <row r="1131">
          <cell r="B1131" t="str">
            <v>AJ POR INFL REDUCCION PERDIDAS</v>
          </cell>
        </row>
        <row r="1132">
          <cell r="B1132" t="str">
            <v>AJ POR INFL PLAN EXP SUBT Y DISTRIBUCION</v>
          </cell>
        </row>
        <row r="1133">
          <cell r="B1133" t="str">
            <v>CENTRO DE ACTIVIDAD NO EXISTE!!!</v>
          </cell>
        </row>
        <row r="1134">
          <cell r="B1134" t="str">
            <v>INGENIERIA Y ADMON TERMICA</v>
          </cell>
        </row>
        <row r="1135">
          <cell r="B1135" t="str">
            <v>INTERVENTORIA TERMICA</v>
          </cell>
        </row>
        <row r="1136">
          <cell r="B1136" t="str">
            <v>CENTRO DE ACTIVIDAD NO EXISTE!!!</v>
          </cell>
        </row>
        <row r="1137">
          <cell r="B1137" t="str">
            <v>ESTUDIOS Y OBRAS CIVILES TERMICA</v>
          </cell>
        </row>
        <row r="1138">
          <cell r="B1138" t="str">
            <v>INGENIERÍA TÉRMICA LA SIERRA</v>
          </cell>
        </row>
        <row r="1139">
          <cell r="B1139" t="str">
            <v>EQUIPOS COMUNICACIONES TERMICA</v>
          </cell>
        </row>
        <row r="1140">
          <cell r="B1140" t="str">
            <v>CENTRO DE ACTIVIDAD NO EXISTE!!!</v>
          </cell>
        </row>
        <row r="1141">
          <cell r="B1141" t="str">
            <v>CONTRATO LLAVE EN MANO TS</v>
          </cell>
        </row>
        <row r="1142">
          <cell r="B1142" t="str">
            <v>TRANSPORTES Y COMBUSTIBLES TERMICA</v>
          </cell>
        </row>
        <row r="1143">
          <cell r="B1143" t="str">
            <v>COMPRA DE TIERRAS TERMICA</v>
          </cell>
        </row>
        <row r="1144">
          <cell r="B1144" t="str">
            <v>CENTRO DE ACTIVIDAD NO EXISTE!!!</v>
          </cell>
        </row>
        <row r="1145">
          <cell r="B1145" t="str">
            <v>AJUSTE DIF. EN CAMBIO TERMICA LA SIERRA</v>
          </cell>
        </row>
        <row r="1146">
          <cell r="B1146" t="str">
            <v>GASTOS FINANCIEROS TERMICA</v>
          </cell>
        </row>
        <row r="1147">
          <cell r="B1147" t="str">
            <v>ANTICIPOS TERMICA</v>
          </cell>
        </row>
        <row r="1148">
          <cell r="B1148" t="str">
            <v>CENTRO DE ACTIVIDAD NO EXISTE!!!</v>
          </cell>
        </row>
        <row r="1149">
          <cell r="B1149" t="str">
            <v>ANTICIPOS NECHI</v>
          </cell>
        </row>
        <row r="1150">
          <cell r="B1150" t="str">
            <v>TERMOELECTRICA LA SIERRA - CICLO COMBIN.</v>
          </cell>
        </row>
        <row r="1151">
          <cell r="B1151" t="str">
            <v>ESTUDIOS CICLO COMBINADO LA SIERRA</v>
          </cell>
        </row>
        <row r="1152">
          <cell r="B1152" t="str">
            <v>OBRAS CIVILES CICLO COMBINADO T.SIERRA</v>
          </cell>
        </row>
        <row r="1153">
          <cell r="B1153" t="str">
            <v>INTERVENTORIA OBRAS C.Y MONTAJE T.SIERRA</v>
          </cell>
        </row>
        <row r="1154">
          <cell r="B1154" t="str">
            <v>CENTRO DE ACTIVIDAD NO EXISTE!!!</v>
          </cell>
        </row>
        <row r="1155">
          <cell r="B1155" t="str">
            <v>DISEÑOS NECHI</v>
          </cell>
        </row>
        <row r="1156">
          <cell r="B1156" t="str">
            <v>INGENIERIA NECHI</v>
          </cell>
        </row>
        <row r="1157">
          <cell r="B1157" t="str">
            <v>TIERRAS Y SERVIDUMBRES NECHI</v>
          </cell>
        </row>
        <row r="1158">
          <cell r="B1158" t="str">
            <v>CENTRO DE ACTIVIDAD NO EXISTE!!!</v>
          </cell>
        </row>
        <row r="1159">
          <cell r="B1159" t="str">
            <v>AJUSTES POR INFL RIOG II</v>
          </cell>
        </row>
        <row r="1160">
          <cell r="B1160" t="str">
            <v>CENTRO DE ACTIVIDAD NO EXISTE!!!</v>
          </cell>
        </row>
        <row r="1161">
          <cell r="B1161" t="str">
            <v>AJUSTES POR INFLACION NECHI</v>
          </cell>
        </row>
        <row r="1162">
          <cell r="B1162" t="str">
            <v>CENTRO DE ACTIVIDAD NO EXISTE!!!</v>
          </cell>
        </row>
        <row r="1163">
          <cell r="B1163" t="str">
            <v>TRAB PART EN DIV CONSERV CONTROL</v>
          </cell>
        </row>
        <row r="1164">
          <cell r="B1164" t="str">
            <v>CENTRO DE ACTIVIDAD NO EXISTE!!!</v>
          </cell>
        </row>
        <row r="1165">
          <cell r="B1165" t="str">
            <v>DIS MIRAFLORES Y TRONERAS</v>
          </cell>
        </row>
        <row r="1166">
          <cell r="B1166" t="str">
            <v>CENTRO DE ACTIVIDAD NO EXISTE!!!</v>
          </cell>
        </row>
        <row r="1167">
          <cell r="B1167" t="str">
            <v>SISTEMAS INFORM. GEREN. DISTRIB. ENERGIA</v>
          </cell>
        </row>
        <row r="1168">
          <cell r="B1168" t="str">
            <v>ALUMBRADO PUBLICO</v>
          </cell>
        </row>
        <row r="1169">
          <cell r="B1169" t="str">
            <v>EST REDISENO TRONERAS</v>
          </cell>
        </row>
        <row r="1170">
          <cell r="B1170" t="str">
            <v>PLANEAMIENTO OPERATIVO ENERGIA</v>
          </cell>
        </row>
        <row r="1171">
          <cell r="B1171" t="str">
            <v>AJ POR INFL GEN Y REP EQUIPOS</v>
          </cell>
        </row>
        <row r="1172">
          <cell r="B1172" t="str">
            <v>CENTRO DE ACTIVIDAD NO EXISTE!!!</v>
          </cell>
        </row>
        <row r="1173">
          <cell r="B1173" t="str">
            <v>SISTEMA DE REFRIGERACIÓN GUATAPÉ O.C.</v>
          </cell>
        </row>
        <row r="1174">
          <cell r="B1174" t="str">
            <v>CENTRO DE ACTIVIDAD NO EXISTE!!!</v>
          </cell>
        </row>
        <row r="1175">
          <cell r="B1175" t="str">
            <v>MODELO EXPANSION GENERACION</v>
          </cell>
        </row>
        <row r="1176">
          <cell r="B1176" t="str">
            <v>CENTRO DE ACTIVIDAD NO EXISTE!!!</v>
          </cell>
        </row>
        <row r="1177">
          <cell r="B1177" t="str">
            <v>MODERNIZACION GUATAPE</v>
          </cell>
        </row>
        <row r="1178">
          <cell r="B1178" t="str">
            <v>PARTICION Y EXPANSION PARRILLA</v>
          </cell>
        </row>
        <row r="1179">
          <cell r="B1179" t="str">
            <v>MTTO PREVENTIVO RURAL</v>
          </cell>
        </row>
        <row r="1180">
          <cell r="B1180" t="str">
            <v>CENTRO DE ACTIVIDAD NO EXISTE!!!</v>
          </cell>
        </row>
        <row r="1181">
          <cell r="B1181" t="str">
            <v>OB VARIAS PROD ENERG DIV TECNICA</v>
          </cell>
        </row>
        <row r="1182">
          <cell r="B1182" t="str">
            <v>OB VARIAS PRODUCC ENERG GTPE</v>
          </cell>
        </row>
        <row r="1183">
          <cell r="B1183" t="str">
            <v>CENTRO DE ACTIVIDAD NO EXISTE!!!</v>
          </cell>
        </row>
        <row r="1184">
          <cell r="B1184" t="str">
            <v>DISENO RIACHON</v>
          </cell>
        </row>
        <row r="1185">
          <cell r="B1185" t="str">
            <v>CENTRO DE ACTIVIDAD NO EXISTE!!!</v>
          </cell>
        </row>
        <row r="1186">
          <cell r="B1186" t="str">
            <v>REALCE VERTEDERO TENCHE</v>
          </cell>
        </row>
        <row r="1187">
          <cell r="B1187" t="str">
            <v>TRASLADO CENTRAL GUADALUPE</v>
          </cell>
        </row>
        <row r="1188">
          <cell r="B1188" t="str">
            <v>CONSULT. GUAD III,TRON, P.BLANC.</v>
          </cell>
        </row>
        <row r="1189">
          <cell r="B1189" t="str">
            <v>CENTRO DE ACTIVIDAD NO EXISTE!!!</v>
          </cell>
        </row>
        <row r="1190">
          <cell r="B1190" t="str">
            <v>OBRA CIVIL MINICENTRAL DOLORES</v>
          </cell>
        </row>
        <row r="1191">
          <cell r="B1191" t="str">
            <v>EQUIPOS MINICENTRAL DOLORES</v>
          </cell>
        </row>
        <row r="1192">
          <cell r="B1192" t="str">
            <v>CENTRO DE ACTIVIDAD NO EXISTE!!!</v>
          </cell>
        </row>
        <row r="1193">
          <cell r="B1193" t="str">
            <v>PLAN INFORMATICO GERENCIA GENER. ENERGIA</v>
          </cell>
        </row>
        <row r="1194">
          <cell r="B1194" t="str">
            <v>CENTRO DE ACTIVIDAD NO EXISTE!!!</v>
          </cell>
        </row>
        <row r="1195">
          <cell r="B1195" t="str">
            <v>CONSERVACIÓN CUENCAS</v>
          </cell>
        </row>
        <row r="1196">
          <cell r="B1196" t="str">
            <v>OBRAS MITIGACIÓN IMPACTOS AMBIENTALES</v>
          </cell>
        </row>
        <row r="1197">
          <cell r="B1197" t="str">
            <v>ESTACIONES HIDROMETEOROLÓGICAS</v>
          </cell>
        </row>
        <row r="1198">
          <cell r="B1198" t="str">
            <v>CENTRO DE ACTIVIDAD NO EXISTE!!!</v>
          </cell>
        </row>
        <row r="1199">
          <cell r="B1199" t="str">
            <v>CONTRATOS U. PLANEACION GENERACIÓN</v>
          </cell>
        </row>
        <row r="1200">
          <cell r="B1200" t="str">
            <v>CENTRO DE ACTIVIDAD NO EXISTE!!!</v>
          </cell>
        </row>
        <row r="1201">
          <cell r="B1201" t="str">
            <v>ANTICIPOS OTROS PROGRAMA GENERACIÓN</v>
          </cell>
        </row>
        <row r="1202">
          <cell r="B1202" t="str">
            <v>ANTICIPOS GENERAC Y REPOSIC EQ</v>
          </cell>
        </row>
        <row r="1203">
          <cell r="B1203" t="str">
            <v>CENTRO DE ACTIVIDAD NO EXISTE!!!</v>
          </cell>
        </row>
        <row r="1204">
          <cell r="B1204" t="str">
            <v>PMO FEN EXIMBANK OTROS PROGR</v>
          </cell>
        </row>
        <row r="1205">
          <cell r="B1205" t="str">
            <v>CENTRO DE ACTIVIDAD NO EXISTE!!!</v>
          </cell>
        </row>
        <row r="1206">
          <cell r="B1206" t="str">
            <v>AJ POR INFL GENER Y REPOSIC EQ</v>
          </cell>
        </row>
        <row r="1207">
          <cell r="B1207" t="str">
            <v>CENTRO DE ACTIVIDAD NO EXISTE!!!</v>
          </cell>
        </row>
        <row r="1208">
          <cell r="B1208" t="str">
            <v>AJTE PTMO EXIMBANK OTROS PROG</v>
          </cell>
        </row>
        <row r="1209">
          <cell r="B1209" t="str">
            <v>INGENIERIA OTROS PROGRAMAS</v>
          </cell>
        </row>
        <row r="1210">
          <cell r="B1210" t="str">
            <v>ANTICIPOS OTROS PROGRAMA DISTRIBUCION</v>
          </cell>
        </row>
        <row r="1211">
          <cell r="B1211" t="str">
            <v>CENTRO DE ACTIVIDAD NO EXISTE!!!</v>
          </cell>
        </row>
        <row r="1212">
          <cell r="B1212" t="str">
            <v>CAPACITACION GENERACIÓN ENERGIA</v>
          </cell>
        </row>
        <row r="1213">
          <cell r="B1213" t="str">
            <v>CAPACITACION DISTRIBUCION ENERGIA</v>
          </cell>
        </row>
        <row r="1214">
          <cell r="B1214" t="str">
            <v>CAPACITACIÓN COMERCIAL</v>
          </cell>
        </row>
        <row r="1215">
          <cell r="B1215" t="str">
            <v>ADECUACION TERRENO PARQUEADERO</v>
          </cell>
        </row>
        <row r="1216">
          <cell r="B1216" t="str">
            <v>EDIFICIO SEDE BOGOTA</v>
          </cell>
        </row>
        <row r="1217">
          <cell r="B1217" t="str">
            <v>CENTRO DE ACTIVIDAD NO EXISTE!!!</v>
          </cell>
        </row>
        <row r="1218">
          <cell r="B1218" t="str">
            <v>REMODELACION ED.MIGUEL DE AGUI</v>
          </cell>
        </row>
        <row r="1219">
          <cell r="B1219" t="str">
            <v>CENTRO DE ACTIVIDAD NO EXISTE!!!</v>
          </cell>
        </row>
        <row r="1220">
          <cell r="B1220" t="str">
            <v>OBRAS SEGURIDAD INSTALAC EPM</v>
          </cell>
        </row>
        <row r="1221">
          <cell r="B1221" t="str">
            <v>CENTRO DE ACTIVIDAD NO EXISTE!!!</v>
          </cell>
        </row>
        <row r="1222">
          <cell r="B1222" t="str">
            <v>PAVIMENTACION</v>
          </cell>
        </row>
        <row r="1223">
          <cell r="B1223" t="str">
            <v>CENTRO DE ACTIVIDAD NO EXISTE!!!</v>
          </cell>
        </row>
        <row r="1224">
          <cell r="B1224" t="str">
            <v>CONSTRUCC Y MTTO DESPACHO CUAD</v>
          </cell>
        </row>
        <row r="1225">
          <cell r="B1225" t="str">
            <v>CENTRO DE ACTIVIDAD NO EXISTE!!!</v>
          </cell>
        </row>
        <row r="1226">
          <cell r="B1226" t="str">
            <v>REMODELACION PALACIO</v>
          </cell>
        </row>
        <row r="1227">
          <cell r="B1227" t="str">
            <v>REFORMA DIV. COMERCIAL</v>
          </cell>
        </row>
        <row r="1228">
          <cell r="B1228" t="str">
            <v>OBRA CIVIL ADECUACION REFORMAS</v>
          </cell>
        </row>
        <row r="1229">
          <cell r="B1229" t="str">
            <v>ADECUACION OFIC ATENCION USUARIO</v>
          </cell>
        </row>
        <row r="1230">
          <cell r="B1230" t="str">
            <v>CENTRO DE ACTIVIDAD NO EXISTE!!!</v>
          </cell>
        </row>
        <row r="1231">
          <cell r="B1231" t="str">
            <v>FACHADA CENTRO DE CONTROL</v>
          </cell>
        </row>
        <row r="1232">
          <cell r="B1232" t="str">
            <v>CENTRO DE ACTIVIDAD NO EXISTE!!!</v>
          </cell>
        </row>
        <row r="1233">
          <cell r="B1233" t="str">
            <v>ANT PLAN MAEST DE INFORMATICA</v>
          </cell>
        </row>
        <row r="1234">
          <cell r="B1234" t="str">
            <v>CENTRO DE ACTIVIDAD NO EXISTE!!!</v>
          </cell>
        </row>
        <row r="1235">
          <cell r="B1235" t="str">
            <v>ADECUACIONES EDIFICIO EE.PP.M.</v>
          </cell>
        </row>
        <row r="1236">
          <cell r="B1236" t="str">
            <v>CENTRO DE ACTIVIDAD NO EXISTE!!!</v>
          </cell>
        </row>
        <row r="1237">
          <cell r="B1237" t="str">
            <v>CENTRO OPERACION MANTENIMIENTO COLOMBIA</v>
          </cell>
        </row>
        <row r="1238">
          <cell r="B1238" t="str">
            <v>VALORIZACION CORPORATIVA EEPPM</v>
          </cell>
        </row>
        <row r="1239">
          <cell r="B1239" t="str">
            <v>BODEGA ALMACEN GENERAL ZONA NORTE</v>
          </cell>
        </row>
        <row r="1240">
          <cell r="B1240" t="str">
            <v>OFICINA SUSCRIPTORES MPIO. BARBOSA</v>
          </cell>
        </row>
        <row r="1241">
          <cell r="B1241" t="str">
            <v>DESPACHO CUADRILLAS ZONA NORTE</v>
          </cell>
        </row>
        <row r="1242">
          <cell r="B1242" t="str">
            <v>CENTRO DE ACTIVIDAD NO EXISTE!!!</v>
          </cell>
        </row>
        <row r="1243">
          <cell r="B1243" t="str">
            <v>ESTUDIOS DE DEMANDA</v>
          </cell>
        </row>
        <row r="1244">
          <cell r="B1244" t="str">
            <v>CENTRO DE ACTIVIDAD NO EXISTE!!!</v>
          </cell>
        </row>
        <row r="1245">
          <cell r="B1245" t="str">
            <v>OBRAS CAROLINA Y GUATAPE</v>
          </cell>
        </row>
        <row r="1246">
          <cell r="B1246" t="str">
            <v>CENTRO DE ACTIVIDAD NO EXISTE!!!</v>
          </cell>
        </row>
        <row r="1247">
          <cell r="B1247" t="str">
            <v>ADECUACION DESPACHOS ENER Y SUSC</v>
          </cell>
        </row>
        <row r="1248">
          <cell r="B1248" t="str">
            <v>PARQUE RECREACIONAL PIEDRAS BLAN</v>
          </cell>
        </row>
        <row r="1249">
          <cell r="B1249" t="str">
            <v>CENTRO DE ACTIVIDAD NO EXISTE!!!</v>
          </cell>
        </row>
        <row r="1250">
          <cell r="B1250" t="str">
            <v>AJ POR INFL PLANTA GENERAL</v>
          </cell>
        </row>
        <row r="1251">
          <cell r="B1251" t="str">
            <v>AJ POR INFL PLANTA GENERAL</v>
          </cell>
        </row>
        <row r="1252">
          <cell r="B1252" t="str">
            <v>AJ X INFL PTA GENERAL</v>
          </cell>
        </row>
        <row r="1253">
          <cell r="B1253" t="str">
            <v>AJ X INFL PTA GENERAL</v>
          </cell>
        </row>
        <row r="1254">
          <cell r="B1254" t="str">
            <v>CENTRO DE ACTIVIDAD NO EXISTE!!!</v>
          </cell>
        </row>
        <row r="1255">
          <cell r="B1255" t="str">
            <v>PLAN PARQUES ECOLOGICOS</v>
          </cell>
        </row>
        <row r="1256">
          <cell r="B1256" t="str">
            <v>PARQUE DE LAS AGUAS</v>
          </cell>
        </row>
        <row r="1257">
          <cell r="B1257" t="str">
            <v>CENTRO DE ACTIVIDAD NO EXISTE!!!</v>
          </cell>
        </row>
        <row r="1258">
          <cell r="B1258" t="str">
            <v>INTERVENTORIA EDIFICIO EPM</v>
          </cell>
        </row>
        <row r="1259">
          <cell r="B1259" t="str">
            <v>CENTRO DE ACTIVIDAD NO EXISTE!!!</v>
          </cell>
        </row>
        <row r="1260">
          <cell r="B1260" t="str">
            <v>COSTOS CONCURRENTES EDIFICIO EPM</v>
          </cell>
        </row>
        <row r="1261">
          <cell r="B1261" t="str">
            <v>INGENIERIA Y ADMON EDIFICIO EPM</v>
          </cell>
        </row>
        <row r="1262">
          <cell r="B1262" t="str">
            <v>CENTRO DE ACTIVIDAD NO EXISTE!!!</v>
          </cell>
        </row>
        <row r="1263">
          <cell r="B1263" t="str">
            <v>ESTRUCTURAS METALICAS EDIF EPM</v>
          </cell>
        </row>
        <row r="1264">
          <cell r="B1264" t="str">
            <v>CENTRO DE ACTIVIDAD NO EXISTE!!!</v>
          </cell>
        </row>
        <row r="1265">
          <cell r="B1265" t="str">
            <v>AMOBLAM Y SENALIZ EDIFICIO EPM</v>
          </cell>
        </row>
        <row r="1266">
          <cell r="B1266" t="str">
            <v>CENTRO DE ACTIVIDAD NO EXISTE!!!</v>
          </cell>
        </row>
        <row r="1267">
          <cell r="B1267" t="str">
            <v>ACABADOS GRALES EDIFICIO EPM</v>
          </cell>
        </row>
        <row r="1268">
          <cell r="B1268" t="str">
            <v>CENTRO DE ACTIVIDAD NO EXISTE!!!</v>
          </cell>
        </row>
        <row r="1269">
          <cell r="B1269" t="str">
            <v>SISTEMA DE AIRE ACOND EDIF EPM</v>
          </cell>
        </row>
        <row r="1270">
          <cell r="B1270" t="str">
            <v>TRANSP VERT E INCLINADO EDIF EPM</v>
          </cell>
        </row>
        <row r="1271">
          <cell r="B1271" t="str">
            <v>CENTRO DE ACTIVIDAD NO EXISTE!!!</v>
          </cell>
        </row>
        <row r="1272">
          <cell r="B1272" t="str">
            <v>RED ELECT Y COMUNICACIONES EDIF EPM</v>
          </cell>
        </row>
        <row r="1273">
          <cell r="B1273" t="str">
            <v>AUTOMATIZACION EDIFICIO EPM</v>
          </cell>
        </row>
        <row r="1274">
          <cell r="B1274" t="str">
            <v>SISTEMAS DE ILUMINACION EDIF EPM</v>
          </cell>
        </row>
        <row r="1275">
          <cell r="B1275" t="str">
            <v>CENTRO DE ACTIVIDAD NO EXISTE!!!</v>
          </cell>
        </row>
        <row r="1276">
          <cell r="B1276" t="str">
            <v>EQ ANTIINCENDIO E HIDR EDIF EPM</v>
          </cell>
        </row>
        <row r="1277">
          <cell r="B1277" t="str">
            <v>SIST DE VOZ DAT Y SONID EDIF EPM</v>
          </cell>
        </row>
        <row r="1278">
          <cell r="B1278" t="str">
            <v>ANTICIPO SEDE</v>
          </cell>
        </row>
        <row r="1279">
          <cell r="B1279" t="str">
            <v>CENTRO DE ACTIVIDAD NO EXISTE!!!</v>
          </cell>
        </row>
        <row r="1280">
          <cell r="B1280" t="str">
            <v>PROYECTO URE EN LA RESIDENCIA</v>
          </cell>
        </row>
        <row r="1281">
          <cell r="B1281" t="str">
            <v>PROYECTO PILOTO URE INDUSTRIA</v>
          </cell>
        </row>
        <row r="1282">
          <cell r="B1282" t="str">
            <v>INVESTIGACION Y DESARROLLO URE</v>
          </cell>
        </row>
        <row r="1283">
          <cell r="B1283" t="str">
            <v>CENTRO DE ACTIVIDAD NO EXISTE!!!</v>
          </cell>
        </row>
        <row r="1284">
          <cell r="B1284" t="str">
            <v>INGENIERIA Y ADMON U.R.E.</v>
          </cell>
        </row>
        <row r="1285">
          <cell r="B1285" t="str">
            <v>ALUMBRADO PUBLICO EFICIENTE</v>
          </cell>
        </row>
        <row r="1286">
          <cell r="B1286" t="str">
            <v>CENTRO DE ACTIVIDAD NO EXISTE!!!</v>
          </cell>
        </row>
        <row r="1287">
          <cell r="B1287" t="str">
            <v>PROYECTO ALURE</v>
          </cell>
        </row>
        <row r="1288">
          <cell r="B1288" t="str">
            <v>CENTRO DE ACTIVIDAD NO EXISTE!!!</v>
          </cell>
        </row>
        <row r="1289">
          <cell r="B1289" t="str">
            <v>CAMPANA NACIONAL URE</v>
          </cell>
        </row>
        <row r="1290">
          <cell r="B1290" t="str">
            <v>CENTRO DE ACTIVIDAD NO EXISTE!!!</v>
          </cell>
        </row>
        <row r="1291">
          <cell r="B1291" t="str">
            <v>ANTICIPOS U.R.E.</v>
          </cell>
        </row>
        <row r="1292">
          <cell r="B1292" t="str">
            <v>CENTRO DE ACTIVIDAD NO EXISTE!!!</v>
          </cell>
        </row>
        <row r="1293">
          <cell r="B1293" t="str">
            <v>AJ POR INFL USO RACIONAL ENERGIA</v>
          </cell>
        </row>
        <row r="1294">
          <cell r="B1294" t="str">
            <v>CENTRO DE ACTIVIDAD NO EXISTE!!!</v>
          </cell>
        </row>
        <row r="1295">
          <cell r="B1295" t="str">
            <v>ANTICIPOS PROGRAMAS GENERALES</v>
          </cell>
        </row>
        <row r="1296">
          <cell r="B1296" t="str">
            <v>DIRECCION DE INFORMATICA</v>
          </cell>
        </row>
        <row r="1297">
          <cell r="B1297" t="str">
            <v>CAPACIDAD EQUIPOS CORPORATIVOS</v>
          </cell>
        </row>
        <row r="1298">
          <cell r="B1298" t="str">
            <v>PROYECTO GACELA</v>
          </cell>
        </row>
        <row r="1299">
          <cell r="B1299" t="str">
            <v>RED COMUNICACION DE DATOS</v>
          </cell>
        </row>
        <row r="1300">
          <cell r="B1300" t="str">
            <v>METODOLOGIA PARA DRROLLO SIST.</v>
          </cell>
        </row>
        <row r="1301">
          <cell r="B1301" t="str">
            <v>CENTRO DE ACTIVIDAD NO EXISTE!!!</v>
          </cell>
        </row>
        <row r="1302">
          <cell r="B1302" t="str">
            <v>UNIDAD PLANEACION INFORMATICA</v>
          </cell>
        </row>
        <row r="1303">
          <cell r="B1303" t="str">
            <v>CENTRO DE ACTIVIDAD NO EXISTE!!!</v>
          </cell>
        </row>
        <row r="1304">
          <cell r="B1304" t="str">
            <v>UNIDAD DE GESTION INFORMATICA</v>
          </cell>
        </row>
        <row r="1305">
          <cell r="B1305" t="str">
            <v>CENTRO DE ACTIVIDAD NO EXISTE!!!</v>
          </cell>
        </row>
        <row r="1306">
          <cell r="B1306" t="str">
            <v>UNIDAD INGENIERÍA Y TECNOLOGÍA INFORMÁTICA</v>
          </cell>
        </row>
        <row r="1307">
          <cell r="B1307" t="str">
            <v>CENTRO DE ACTIVIDAD NO EXISTE!!!</v>
          </cell>
        </row>
        <row r="1308">
          <cell r="B1308" t="str">
            <v>UNIDAD SISTEMAS DE INFORMACIÓN</v>
          </cell>
        </row>
        <row r="1309">
          <cell r="B1309" t="str">
            <v>EQUIPO SIGMA</v>
          </cell>
        </row>
        <row r="1310">
          <cell r="B1310" t="str">
            <v>MANTENIMIENTO SISTEMAS DE INFORMACIÓN</v>
          </cell>
        </row>
        <row r="1311">
          <cell r="B1311" t="str">
            <v>CENTRO DE ACTIVIDAD NO EXISTE!!!</v>
          </cell>
        </row>
        <row r="1312">
          <cell r="B1312" t="str">
            <v>UNIDAD OPERACIONES INFORMÁTICAS</v>
          </cell>
        </row>
        <row r="1313">
          <cell r="B1313" t="str">
            <v>CENTRO DE ACTIVIDAD NO EXISTE!!!</v>
          </cell>
        </row>
        <row r="1314">
          <cell r="B1314" t="str">
            <v>AJ POR INFL PLAN M INFORMATICA</v>
          </cell>
        </row>
        <row r="1315">
          <cell r="B1315" t="str">
            <v>AJ POR INFL PLAN M INFORMATICA</v>
          </cell>
        </row>
        <row r="1316">
          <cell r="B1316" t="str">
            <v>AJ X INFL PLAN MAEST INFORMATC</v>
          </cell>
        </row>
        <row r="1317">
          <cell r="B1317" t="str">
            <v>AJ POR INFL P MAEST INFORMATIC</v>
          </cell>
        </row>
        <row r="1318">
          <cell r="B1318" t="str">
            <v>CENTRO DE ACTIVIDAD NO EXISTE!!!</v>
          </cell>
        </row>
        <row r="1319">
          <cell r="B1319" t="str">
            <v>DLLO PROY INTERNOS INFORMATICA</v>
          </cell>
        </row>
        <row r="1320">
          <cell r="B1320" t="str">
            <v>CENTRO DE ACTIVIDAD NO EXISTE!!!</v>
          </cell>
        </row>
        <row r="1321">
          <cell r="B1321" t="str">
            <v>CAPACITACION INFORMATICA</v>
          </cell>
        </row>
        <row r="1322">
          <cell r="B1322" t="str">
            <v>SISTEMA INFORMACION ADMON CONT</v>
          </cell>
        </row>
        <row r="1323">
          <cell r="B1323" t="str">
            <v>BASE DE DATOS HIDROMETEOROLOGI</v>
          </cell>
        </row>
        <row r="1324">
          <cell r="B1324" t="str">
            <v>CENTRO DE ACTIVIDAD NO EXISTE!!!</v>
          </cell>
        </row>
        <row r="1325">
          <cell r="B1325" t="str">
            <v>GEST AUTOMATIZ MAT Y MTTO GAMMA</v>
          </cell>
        </row>
        <row r="1326">
          <cell r="B1326" t="str">
            <v>SIST.INFORM. DEL CIGAT</v>
          </cell>
        </row>
        <row r="1327">
          <cell r="B1327" t="str">
            <v>CENTRO DE ACTIVIDAD NO EXISTE!!!</v>
          </cell>
        </row>
        <row r="1328">
          <cell r="B1328" t="str">
            <v>SIST.INFORM.CONTROL PERD.TCAS</v>
          </cell>
        </row>
        <row r="1329">
          <cell r="B1329" t="str">
            <v>CENTRO DE ACTIVIDAD NO EXISTE!!!</v>
          </cell>
        </row>
        <row r="1330">
          <cell r="B1330" t="str">
            <v>DIS DE RED ASIST POR COMP</v>
          </cell>
        </row>
        <row r="1331">
          <cell r="B1331" t="str">
            <v>CENTRO DE ACTIVIDAD NO EXISTE!!!</v>
          </cell>
        </row>
        <row r="1332">
          <cell r="B1332" t="str">
            <v>PROYECTO GESTAR</v>
          </cell>
        </row>
        <row r="1333">
          <cell r="B1333" t="str">
            <v>PROYECTO MULTIMEDIA</v>
          </cell>
        </row>
        <row r="1334">
          <cell r="B1334" t="str">
            <v>CENTRO DE ACTIVIDAD NO EXISTE!!!</v>
          </cell>
        </row>
        <row r="1335">
          <cell r="B1335" t="str">
            <v>ADQUISICION PAQUETE MANEJO GESTION</v>
          </cell>
        </row>
        <row r="1336">
          <cell r="B1336" t="str">
            <v>DESARROLLO COMUNICACIÓN DE DATOS</v>
          </cell>
        </row>
        <row r="1337">
          <cell r="B1337" t="str">
            <v>SOPORTE MANTENIMIENTO  D.R.C.</v>
          </cell>
        </row>
        <row r="1338">
          <cell r="B1338" t="str">
            <v>GROUPWARE</v>
          </cell>
        </row>
        <row r="1339">
          <cell r="B1339" t="str">
            <v>PROYECTO PIBOT CORPORATIVO</v>
          </cell>
        </row>
        <row r="1340">
          <cell r="B1340" t="str">
            <v>PAQUETE PRONOSTICO DE CAUDALES</v>
          </cell>
        </row>
        <row r="1341">
          <cell r="B1341" t="str">
            <v>CENTRO DE ACTIVIDAD NO EXISTE!!!</v>
          </cell>
        </row>
        <row r="1342">
          <cell r="B1342" t="str">
            <v>PROYECTO METODOLOGIA FASE II</v>
          </cell>
        </row>
        <row r="1343">
          <cell r="B1343" t="str">
            <v>HW PROYECTOS DE TECNOLOGIA</v>
          </cell>
        </row>
        <row r="1344">
          <cell r="B1344" t="str">
            <v>CENTRO DE ACTIVIDAD NO EXISTE!!!</v>
          </cell>
        </row>
        <row r="1345">
          <cell r="B1345" t="str">
            <v>PLAN DES. INF. GEREN. DISTRIB. ENERGIA</v>
          </cell>
        </row>
        <row r="1346">
          <cell r="B1346" t="str">
            <v>CENTRO DE ACTIVIDAD NO EXISTE!!!</v>
          </cell>
        </row>
        <row r="1347">
          <cell r="B1347" t="str">
            <v>SW MICROS SERVIDORES Y EQ.DPTL</v>
          </cell>
        </row>
        <row r="1348">
          <cell r="B1348" t="str">
            <v>CENTRO DE ACTIVIDAD NO EXISTE!!!</v>
          </cell>
        </row>
        <row r="1349">
          <cell r="B1349" t="str">
            <v>PROYECTO SIGMA CON RECURSOS PROP.</v>
          </cell>
        </row>
        <row r="1350">
          <cell r="B1350" t="str">
            <v>ASESORIA Y SOPORTE TECN. SIGMA</v>
          </cell>
        </row>
        <row r="1351">
          <cell r="B1351" t="str">
            <v>CAPACITACION SIGMA</v>
          </cell>
        </row>
        <row r="1352">
          <cell r="B1352" t="str">
            <v>DESARROLLO APLICACIONES SIGMA</v>
          </cell>
        </row>
        <row r="1353">
          <cell r="B1353" t="str">
            <v>CONVERSION BASE GEOGRAFICA SIGMA</v>
          </cell>
        </row>
        <row r="1354">
          <cell r="B1354" t="str">
            <v>PROY. PILOTO SIGMA BIRF 2449</v>
          </cell>
        </row>
        <row r="1355">
          <cell r="B1355" t="str">
            <v>CONVERSION REDES ACUEDUCTO</v>
          </cell>
        </row>
        <row r="1356">
          <cell r="B1356" t="str">
            <v>CONVERSION REDES ALCANTARILLADO</v>
          </cell>
        </row>
        <row r="1357">
          <cell r="B1357" t="str">
            <v>CONVERSION REDES DISTRIBUCION</v>
          </cell>
        </row>
        <row r="1358">
          <cell r="B1358" t="str">
            <v>CONVERSION REDES TELEFONOS</v>
          </cell>
        </row>
        <row r="1359">
          <cell r="B1359" t="str">
            <v>HW SW Y APLICATIVOS ACUEDUCTO</v>
          </cell>
        </row>
        <row r="1360">
          <cell r="B1360" t="str">
            <v>HW SW Y APLICATIVOS SANEAMIENTO</v>
          </cell>
        </row>
        <row r="1361">
          <cell r="B1361" t="str">
            <v>HW SW Y APLICATIVOS ENERGIA</v>
          </cell>
        </row>
        <row r="1362">
          <cell r="B1362" t="str">
            <v>HW SW Y APLICATIVOS TELECOMUN.</v>
          </cell>
        </row>
        <row r="1363">
          <cell r="B1363" t="str">
            <v>POLIGONO</v>
          </cell>
        </row>
        <row r="1364">
          <cell r="B1364" t="str">
            <v>HW SW Y APLICATIVOS GAS</v>
          </cell>
        </row>
        <row r="1365">
          <cell r="B1365" t="str">
            <v>CONVERSION REDES GAS</v>
          </cell>
        </row>
        <row r="1366">
          <cell r="B1366" t="str">
            <v>CENTRO DE ACTIVIDAD NO EXISTE!!!</v>
          </cell>
        </row>
        <row r="1367">
          <cell r="B1367" t="str">
            <v>SIGA</v>
          </cell>
        </row>
        <row r="1368">
          <cell r="B1368" t="str">
            <v>CENTRO DE ACTIVIDAD NO EXISTE!!!</v>
          </cell>
        </row>
        <row r="1369">
          <cell r="B1369" t="str">
            <v>EVOLUCION SISTEMA DANOS ACUEDUCTO</v>
          </cell>
        </row>
        <row r="1370">
          <cell r="B1370" t="str">
            <v>CENTRO DE ACTIVIDAD NO EXISTE!!!</v>
          </cell>
        </row>
        <row r="1371">
          <cell r="B1371" t="str">
            <v>ALURE PERDIDAS</v>
          </cell>
        </row>
        <row r="1372">
          <cell r="B1372" t="str">
            <v>PROYECTO ALURE COSTOS</v>
          </cell>
        </row>
        <row r="1373">
          <cell r="B1373" t="str">
            <v>SISTEMA INFORM. COMERCIALIZACION ENERGIA</v>
          </cell>
        </row>
        <row r="1374">
          <cell r="B1374" t="str">
            <v>CENTRO DE ACTIVIDAD NO EXISTE!!!</v>
          </cell>
        </row>
        <row r="1375">
          <cell r="B1375" t="str">
            <v>SISTEMA INFORM. PARA LA BOLSA DE ENERGIA</v>
          </cell>
        </row>
        <row r="1376">
          <cell r="B1376" t="str">
            <v>SIST. INFORM. STO. GESTION GCIA. GENERAC</v>
          </cell>
        </row>
        <row r="1377">
          <cell r="B1377" t="str">
            <v>SISTEMA INFORM. PARA GESTION MERCADEO</v>
          </cell>
        </row>
        <row r="1378">
          <cell r="B1378" t="str">
            <v>SIST. INFORM. GESTION FIN. GCIA. GENERAC</v>
          </cell>
        </row>
        <row r="1379">
          <cell r="B1379" t="str">
            <v>CENTRO DE ACTIVIDAD NO EXISTE!!!</v>
          </cell>
        </row>
        <row r="1380">
          <cell r="B1380" t="str">
            <v>EPM BOGOTA S.A. E.S.P.</v>
          </cell>
        </row>
        <row r="1381">
          <cell r="B1381" t="str">
            <v>CENTRO DE ACTIVIDAD NO EXISTE!!!</v>
          </cell>
        </row>
        <row r="1382">
          <cell r="B1382" t="str">
            <v>SISTEMA DE INFORMACION TESORERIA</v>
          </cell>
        </row>
        <row r="1383">
          <cell r="B1383" t="str">
            <v>SISTEMA DE INFORMACION REVISIONES</v>
          </cell>
        </row>
        <row r="1384">
          <cell r="B1384" t="str">
            <v>SISTEMA DE INFORMACION FINANCIERO</v>
          </cell>
        </row>
        <row r="1385">
          <cell r="B1385" t="str">
            <v>SISTEMA DE INFORMACION SEGUROS</v>
          </cell>
        </row>
        <row r="1386">
          <cell r="B1386" t="str">
            <v>PROYECTO SOLUCIONES ANO 2000</v>
          </cell>
        </row>
        <row r="1387">
          <cell r="B1387" t="str">
            <v>CENTRO DE ACTIVIDAD NO EXISTE!!!</v>
          </cell>
        </row>
        <row r="1388">
          <cell r="B1388" t="str">
            <v>SIST. INF. INVENTARIOS (CARTERA, LOTES)</v>
          </cell>
        </row>
        <row r="1389">
          <cell r="B1389" t="str">
            <v>SISTEMA INTEGRADO INFORMACION BIBLIOTECA</v>
          </cell>
        </row>
        <row r="1390">
          <cell r="B1390" t="str">
            <v>SISTEMA POS-PROVEEDURIA</v>
          </cell>
        </row>
        <row r="1391">
          <cell r="B1391" t="str">
            <v>AMPLIACION RED CORPORATIVA EEPPM</v>
          </cell>
        </row>
        <row r="1392">
          <cell r="B1392" t="str">
            <v>SEGURIDAD DE LA INFRAESTRUCTURA INFORM.</v>
          </cell>
        </row>
        <row r="1393">
          <cell r="B1393" t="str">
            <v>ADMINISTRACION DE LA INFRAESTRUCTURA INF</v>
          </cell>
        </row>
        <row r="1394">
          <cell r="B1394" t="str">
            <v>COMUNICACION ORGANIZACIONAL ELECTRONICA</v>
          </cell>
        </row>
        <row r="1395">
          <cell r="B1395" t="str">
            <v>PROYECTO SISIE</v>
          </cell>
        </row>
        <row r="1396">
          <cell r="B1396" t="str">
            <v>CENTRO DE ACTIVIDAD NO EXISTE!!!</v>
          </cell>
        </row>
        <row r="1397">
          <cell r="B1397" t="str">
            <v>PROYECTO TRIPLE-E</v>
          </cell>
        </row>
        <row r="1398">
          <cell r="B1398" t="str">
            <v>PROYECTO INFRAGAS</v>
          </cell>
        </row>
        <row r="1399">
          <cell r="B1399" t="str">
            <v>PROYECTO COM-GAS</v>
          </cell>
        </row>
        <row r="1400">
          <cell r="B1400" t="str">
            <v>PROYECTO DISGAS</v>
          </cell>
        </row>
        <row r="1401">
          <cell r="B1401" t="str">
            <v>PROYECTO CONTRATAR</v>
          </cell>
        </row>
        <row r="1402">
          <cell r="B1402" t="str">
            <v>CENTRO DE ACTIVIDAD NO EXISTE!!!</v>
          </cell>
        </row>
        <row r="1403">
          <cell r="B1403" t="str">
            <v>ANTICIPOS ESTUDIOS</v>
          </cell>
        </row>
        <row r="1404">
          <cell r="B1404" t="str">
            <v>CENTRO DE ACTIVIDAD NO EXISTE!!!</v>
          </cell>
        </row>
      </sheetData>
      <sheetData sheetId="4" refreshError="1"/>
      <sheetData sheetId="5" refreshError="1"/>
      <sheetData sheetId="6" refreshError="1"/>
      <sheetData sheetId="7" refreshError="1"/>
      <sheetData sheetId="8" refreshError="1"/>
      <sheetData sheetId="9" refreshError="1"/>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financiera 2021"/>
      <sheetName val="Cuadres de cajas 2021"/>
      <sheetName val="Cajas menores 2019"/>
      <sheetName val="Cuadres de cajas 2023-3"/>
      <sheetName val="PM Pr Gestión Financiera"/>
      <sheetName val="Cumplimiento"/>
      <sheetName val="Instructivo"/>
      <sheetName val="Tabla informe"/>
      <sheetName val="Hoja2"/>
    </sheetNames>
    <sheetDataSet>
      <sheetData sheetId="0"/>
      <sheetData sheetId="1"/>
      <sheetData sheetId="2"/>
      <sheetData sheetId="3"/>
      <sheetData sheetId="4"/>
      <sheetData sheetId="5">
        <row r="6">
          <cell r="B6" t="str">
            <v>Auditoría Interna Cajas Menores 2019</v>
          </cell>
          <cell r="C6">
            <v>9</v>
          </cell>
          <cell r="D6">
            <v>0</v>
          </cell>
          <cell r="E6">
            <v>44169</v>
          </cell>
          <cell r="F6" t="str">
            <v>SI</v>
          </cell>
          <cell r="G6">
            <v>1</v>
          </cell>
          <cell r="H6">
            <v>13</v>
          </cell>
          <cell r="I6">
            <v>1</v>
          </cell>
          <cell r="J6">
            <v>7</v>
          </cell>
          <cell r="K6">
            <v>5</v>
          </cell>
          <cell r="L6">
            <v>0</v>
          </cell>
          <cell r="M6">
            <v>7.6923076923076927E-2</v>
          </cell>
          <cell r="N6">
            <v>0.53846153846153844</v>
          </cell>
          <cell r="O6">
            <v>0.38461538461538464</v>
          </cell>
          <cell r="P6">
            <v>0</v>
          </cell>
        </row>
        <row r="7">
          <cell r="B7" t="str">
            <v>Auditoría Interna Proceso Gestión Financiera 2019</v>
          </cell>
          <cell r="C7">
            <v>15</v>
          </cell>
          <cell r="D7">
            <v>0</v>
          </cell>
          <cell r="E7"/>
          <cell r="F7" t="str">
            <v>NO</v>
          </cell>
          <cell r="G7" t="str">
            <v/>
          </cell>
          <cell r="H7">
            <v>0</v>
          </cell>
          <cell r="I7">
            <v>0</v>
          </cell>
          <cell r="J7">
            <v>0</v>
          </cell>
          <cell r="K7">
            <v>0</v>
          </cell>
          <cell r="L7">
            <v>0</v>
          </cell>
          <cell r="M7" t="str">
            <v>-</v>
          </cell>
          <cell r="N7" t="str">
            <v>-</v>
          </cell>
          <cell r="O7" t="str">
            <v>-</v>
          </cell>
          <cell r="P7">
            <v>0</v>
          </cell>
        </row>
        <row r="8">
          <cell r="B8" t="str">
            <v>Auditoría Interna Proceso Gestión Financiera 2020</v>
          </cell>
          <cell r="C8">
            <v>14</v>
          </cell>
          <cell r="D8">
            <v>0</v>
          </cell>
          <cell r="E8"/>
          <cell r="F8" t="str">
            <v>NO</v>
          </cell>
          <cell r="G8" t="str">
            <v/>
          </cell>
          <cell r="H8">
            <v>0</v>
          </cell>
          <cell r="I8">
            <v>0</v>
          </cell>
          <cell r="J8">
            <v>0</v>
          </cell>
          <cell r="K8">
            <v>0</v>
          </cell>
          <cell r="L8">
            <v>0</v>
          </cell>
          <cell r="M8" t="str">
            <v>-</v>
          </cell>
          <cell r="N8" t="str">
            <v>-</v>
          </cell>
          <cell r="O8" t="str">
            <v>-</v>
          </cell>
          <cell r="P8">
            <v>0</v>
          </cell>
        </row>
        <row r="9">
          <cell r="B9" t="str">
            <v>Auditoría Interna Instructivo Cuadre de Caja 2021-1</v>
          </cell>
          <cell r="C9">
            <v>7</v>
          </cell>
          <cell r="D9">
            <v>1</v>
          </cell>
          <cell r="E9">
            <v>44718</v>
          </cell>
          <cell r="F9" t="str">
            <v>SI</v>
          </cell>
          <cell r="G9">
            <v>1</v>
          </cell>
          <cell r="H9">
            <v>10</v>
          </cell>
          <cell r="I9">
            <v>1</v>
          </cell>
          <cell r="J9">
            <v>4</v>
          </cell>
          <cell r="K9">
            <v>3</v>
          </cell>
          <cell r="L9">
            <v>2</v>
          </cell>
          <cell r="M9">
            <v>0.125</v>
          </cell>
          <cell r="N9">
            <v>0.5</v>
          </cell>
          <cell r="O9">
            <v>0.375</v>
          </cell>
          <cell r="P9">
            <v>0.14285714285714285</v>
          </cell>
        </row>
        <row r="10">
          <cell r="B10" t="str">
            <v>Auditoría Interna Proceso Gestión Financiera Facturación, Cartera y Gestión de Glosas 2021</v>
          </cell>
          <cell r="C10">
            <v>9</v>
          </cell>
          <cell r="D10">
            <v>0</v>
          </cell>
          <cell r="E10"/>
          <cell r="F10" t="str">
            <v>NO</v>
          </cell>
          <cell r="G10" t="str">
            <v/>
          </cell>
          <cell r="H10">
            <v>0</v>
          </cell>
          <cell r="I10">
            <v>0</v>
          </cell>
          <cell r="J10">
            <v>0</v>
          </cell>
          <cell r="K10">
            <v>0</v>
          </cell>
          <cell r="L10">
            <v>0</v>
          </cell>
          <cell r="M10" t="str">
            <v>-</v>
          </cell>
          <cell r="N10" t="str">
            <v>-</v>
          </cell>
          <cell r="O10" t="str">
            <v>-</v>
          </cell>
          <cell r="P10">
            <v>0</v>
          </cell>
        </row>
        <row r="11">
          <cell r="B11" t="str">
            <v>Auditoría Interna Instructivo Cuadre de Caja 2021-2</v>
          </cell>
          <cell r="C11">
            <v>6</v>
          </cell>
          <cell r="D11">
            <v>0</v>
          </cell>
          <cell r="E11"/>
          <cell r="F11" t="str">
            <v>NO</v>
          </cell>
          <cell r="G11" t="str">
            <v/>
          </cell>
          <cell r="H11">
            <v>0</v>
          </cell>
          <cell r="I11">
            <v>0</v>
          </cell>
          <cell r="J11">
            <v>0</v>
          </cell>
          <cell r="K11">
            <v>0</v>
          </cell>
          <cell r="L11">
            <v>0</v>
          </cell>
          <cell r="M11" t="str">
            <v>-</v>
          </cell>
          <cell r="N11" t="str">
            <v>-</v>
          </cell>
          <cell r="O11" t="str">
            <v>-</v>
          </cell>
          <cell r="P11">
            <v>0</v>
          </cell>
        </row>
        <row r="12">
          <cell r="B12" t="str">
            <v>Auditoría Interna Proceso Gestión Financiera 2021</v>
          </cell>
          <cell r="C12">
            <v>4</v>
          </cell>
          <cell r="D12">
            <v>0</v>
          </cell>
          <cell r="E12">
            <v>44700</v>
          </cell>
          <cell r="F12" t="str">
            <v>SI</v>
          </cell>
          <cell r="G12">
            <v>1</v>
          </cell>
          <cell r="H12">
            <v>5</v>
          </cell>
          <cell r="I12">
            <v>0</v>
          </cell>
          <cell r="J12">
            <v>4</v>
          </cell>
          <cell r="K12">
            <v>1</v>
          </cell>
          <cell r="L12">
            <v>0</v>
          </cell>
          <cell r="M12">
            <v>0</v>
          </cell>
          <cell r="N12">
            <v>0.8</v>
          </cell>
          <cell r="O12">
            <v>0.2</v>
          </cell>
          <cell r="P12">
            <v>0</v>
          </cell>
        </row>
        <row r="13">
          <cell r="B13" t="str">
            <v>Auditoría Interna Instructivo Cuadre de Caja 2022-1</v>
          </cell>
          <cell r="C13">
            <v>2</v>
          </cell>
          <cell r="D13">
            <v>0</v>
          </cell>
          <cell r="E13"/>
          <cell r="F13" t="str">
            <v>NO</v>
          </cell>
          <cell r="G13" t="str">
            <v/>
          </cell>
          <cell r="H13">
            <v>0</v>
          </cell>
          <cell r="I13">
            <v>0</v>
          </cell>
          <cell r="J13">
            <v>0</v>
          </cell>
          <cell r="K13">
            <v>0</v>
          </cell>
          <cell r="L13">
            <v>0</v>
          </cell>
          <cell r="M13" t="str">
            <v>-</v>
          </cell>
          <cell r="N13" t="str">
            <v>-</v>
          </cell>
          <cell r="O13" t="str">
            <v>-</v>
          </cell>
          <cell r="P13">
            <v>0</v>
          </cell>
        </row>
        <row r="14">
          <cell r="B14" t="str">
            <v>Auditoría Interna Cajas Menores 2022</v>
          </cell>
          <cell r="C14">
            <v>4</v>
          </cell>
          <cell r="D14">
            <v>0</v>
          </cell>
          <cell r="E14"/>
          <cell r="F14" t="str">
            <v>NO</v>
          </cell>
          <cell r="G14" t="str">
            <v/>
          </cell>
          <cell r="H14">
            <v>0</v>
          </cell>
          <cell r="I14">
            <v>0</v>
          </cell>
          <cell r="J14">
            <v>0</v>
          </cell>
          <cell r="K14">
            <v>0</v>
          </cell>
          <cell r="L14">
            <v>0</v>
          </cell>
          <cell r="M14" t="str">
            <v>-</v>
          </cell>
          <cell r="N14" t="str">
            <v>-</v>
          </cell>
          <cell r="O14" t="str">
            <v>-</v>
          </cell>
          <cell r="P14">
            <v>0</v>
          </cell>
        </row>
        <row r="15">
          <cell r="B15" t="str">
            <v>Auditoría Interna Instructivo Cuadre de Caja 2022-2</v>
          </cell>
          <cell r="C15">
            <v>3</v>
          </cell>
          <cell r="D15">
            <v>0</v>
          </cell>
          <cell r="E15"/>
          <cell r="F15" t="str">
            <v>NO</v>
          </cell>
          <cell r="G15" t="str">
            <v/>
          </cell>
          <cell r="H15">
            <v>0</v>
          </cell>
          <cell r="I15">
            <v>0</v>
          </cell>
          <cell r="J15">
            <v>0</v>
          </cell>
          <cell r="K15">
            <v>0</v>
          </cell>
          <cell r="L15">
            <v>0</v>
          </cell>
          <cell r="M15" t="str">
            <v>-</v>
          </cell>
          <cell r="N15" t="str">
            <v>-</v>
          </cell>
          <cell r="O15" t="str">
            <v>-</v>
          </cell>
          <cell r="P15">
            <v>0</v>
          </cell>
        </row>
        <row r="16">
          <cell r="B16" t="str">
            <v>Auditoría Interna Verificación a los Cuadres de Cajas de las UH 2023-1</v>
          </cell>
          <cell r="C16">
            <v>8</v>
          </cell>
          <cell r="D16">
            <v>0</v>
          </cell>
          <cell r="E16"/>
          <cell r="F16" t="str">
            <v>NO</v>
          </cell>
          <cell r="G16" t="str">
            <v/>
          </cell>
          <cell r="H16">
            <v>0</v>
          </cell>
          <cell r="I16">
            <v>0</v>
          </cell>
          <cell r="J16">
            <v>0</v>
          </cell>
          <cell r="K16">
            <v>0</v>
          </cell>
          <cell r="L16">
            <v>0</v>
          </cell>
          <cell r="M16" t="str">
            <v>-</v>
          </cell>
          <cell r="N16" t="str">
            <v>-</v>
          </cell>
          <cell r="O16" t="str">
            <v>-</v>
          </cell>
          <cell r="P16">
            <v>0</v>
          </cell>
        </row>
        <row r="17">
          <cell r="B17" t="str">
            <v>Auditoría Interna Proceso Gestión Financiera Tesorería 2023</v>
          </cell>
          <cell r="C17">
            <v>9</v>
          </cell>
          <cell r="D17">
            <v>0</v>
          </cell>
          <cell r="E17"/>
          <cell r="F17" t="str">
            <v>NO</v>
          </cell>
          <cell r="G17" t="str">
            <v/>
          </cell>
          <cell r="H17">
            <v>0</v>
          </cell>
          <cell r="I17">
            <v>0</v>
          </cell>
          <cell r="J17">
            <v>0</v>
          </cell>
          <cell r="K17">
            <v>0</v>
          </cell>
          <cell r="L17">
            <v>0</v>
          </cell>
          <cell r="M17" t="str">
            <v>-</v>
          </cell>
          <cell r="N17" t="str">
            <v>-</v>
          </cell>
          <cell r="O17" t="str">
            <v>-</v>
          </cell>
          <cell r="P17">
            <v>0</v>
          </cell>
        </row>
        <row r="18">
          <cell r="B18" t="str">
            <v>Auditoría Interna Cajas Menores 2023</v>
          </cell>
          <cell r="C18">
            <v>7</v>
          </cell>
          <cell r="D18">
            <v>0</v>
          </cell>
          <cell r="E18"/>
          <cell r="F18" t="str">
            <v>NO</v>
          </cell>
          <cell r="G18" t="str">
            <v/>
          </cell>
          <cell r="H18">
            <v>0</v>
          </cell>
          <cell r="I18">
            <v>0</v>
          </cell>
          <cell r="J18">
            <v>0</v>
          </cell>
          <cell r="K18">
            <v>0</v>
          </cell>
          <cell r="L18">
            <v>0</v>
          </cell>
          <cell r="M18" t="str">
            <v>-</v>
          </cell>
          <cell r="N18" t="str">
            <v>-</v>
          </cell>
          <cell r="O18" t="str">
            <v>-</v>
          </cell>
          <cell r="P18">
            <v>0</v>
          </cell>
        </row>
        <row r="19">
          <cell r="B19" t="str">
            <v>Auditoría Interna Verificación a los Cuadres de Cajas de las UH 2023-2</v>
          </cell>
          <cell r="C19">
            <v>0</v>
          </cell>
          <cell r="D19">
            <v>0</v>
          </cell>
          <cell r="E19"/>
          <cell r="F19" t="str">
            <v>NO APLICA</v>
          </cell>
          <cell r="G19" t="str">
            <v/>
          </cell>
          <cell r="H19">
            <v>0</v>
          </cell>
          <cell r="I19">
            <v>0</v>
          </cell>
          <cell r="J19">
            <v>0</v>
          </cell>
          <cell r="K19">
            <v>0</v>
          </cell>
          <cell r="L19">
            <v>0</v>
          </cell>
          <cell r="M19" t="str">
            <v>-</v>
          </cell>
          <cell r="N19" t="str">
            <v>-</v>
          </cell>
          <cell r="O19" t="str">
            <v>-</v>
          </cell>
          <cell r="P19" t="str">
            <v>-</v>
          </cell>
        </row>
        <row r="20">
          <cell r="B20" t="str">
            <v>Auditoría Interna Proceso Gestión Financiera - Facturación, Cartera y Gestión de Glosas 2023</v>
          </cell>
          <cell r="C20">
            <v>6</v>
          </cell>
          <cell r="D20">
            <v>0</v>
          </cell>
          <cell r="E20"/>
          <cell r="F20" t="str">
            <v>NO</v>
          </cell>
          <cell r="G20" t="str">
            <v/>
          </cell>
          <cell r="H20">
            <v>0</v>
          </cell>
          <cell r="I20">
            <v>0</v>
          </cell>
          <cell r="J20">
            <v>0</v>
          </cell>
          <cell r="K20">
            <v>0</v>
          </cell>
          <cell r="L20">
            <v>0</v>
          </cell>
          <cell r="M20" t="str">
            <v>-</v>
          </cell>
          <cell r="N20" t="str">
            <v>-</v>
          </cell>
          <cell r="O20" t="str">
            <v>-</v>
          </cell>
          <cell r="P20">
            <v>0</v>
          </cell>
        </row>
        <row r="21">
          <cell r="B21" t="str">
            <v>Auditoría Interna Proceso Gestión Financiera - Presupuesto 2023</v>
          </cell>
          <cell r="C21">
            <v>5</v>
          </cell>
          <cell r="D21">
            <v>0</v>
          </cell>
          <cell r="E21"/>
          <cell r="F21" t="str">
            <v>NO</v>
          </cell>
          <cell r="G21" t="str">
            <v/>
          </cell>
          <cell r="H21">
            <v>0</v>
          </cell>
          <cell r="I21">
            <v>0</v>
          </cell>
          <cell r="J21">
            <v>0</v>
          </cell>
          <cell r="K21">
            <v>0</v>
          </cell>
          <cell r="L21">
            <v>0</v>
          </cell>
          <cell r="M21" t="str">
            <v>-</v>
          </cell>
          <cell r="N21" t="str">
            <v>-</v>
          </cell>
          <cell r="O21" t="str">
            <v>-</v>
          </cell>
          <cell r="P21">
            <v>0</v>
          </cell>
        </row>
        <row r="22">
          <cell r="B22" t="str">
            <v>Auditoría Interna Verificación a los Cuadres de Cajas de las UH 2023-3</v>
          </cell>
          <cell r="C22">
            <v>1</v>
          </cell>
          <cell r="D22">
            <v>0</v>
          </cell>
          <cell r="E22"/>
          <cell r="F22" t="str">
            <v>SI</v>
          </cell>
          <cell r="G22">
            <v>0</v>
          </cell>
          <cell r="H22">
            <v>1</v>
          </cell>
          <cell r="I22">
            <v>0</v>
          </cell>
          <cell r="J22">
            <v>0</v>
          </cell>
          <cell r="K22">
            <v>0</v>
          </cell>
          <cell r="L22">
            <v>1</v>
          </cell>
          <cell r="M22" t="str">
            <v>-</v>
          </cell>
          <cell r="N22" t="str">
            <v>-</v>
          </cell>
          <cell r="O22" t="str">
            <v>-</v>
          </cell>
          <cell r="P22">
            <v>0</v>
          </cell>
        </row>
        <row r="23">
          <cell r="B23" t="str">
            <v>Auditoría Interna Proceso Gestión Financiera - Costos 2023</v>
          </cell>
          <cell r="C23">
            <v>1</v>
          </cell>
          <cell r="D23">
            <v>0</v>
          </cell>
          <cell r="E23"/>
          <cell r="F23" t="str">
            <v>NO</v>
          </cell>
          <cell r="G23" t="str">
            <v/>
          </cell>
          <cell r="H23">
            <v>0</v>
          </cell>
          <cell r="I23">
            <v>0</v>
          </cell>
          <cell r="J23">
            <v>0</v>
          </cell>
          <cell r="K23">
            <v>0</v>
          </cell>
          <cell r="L23">
            <v>0</v>
          </cell>
          <cell r="M23" t="str">
            <v>-</v>
          </cell>
          <cell r="N23" t="str">
            <v>-</v>
          </cell>
          <cell r="O23" t="str">
            <v>-</v>
          </cell>
          <cell r="P23">
            <v>0</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18</v>
          </cell>
          <cell r="C26">
            <v>110</v>
          </cell>
          <cell r="D26">
            <v>1</v>
          </cell>
          <cell r="E26" t="str">
            <v>-</v>
          </cell>
          <cell r="F26">
            <v>0.23529411764705882</v>
          </cell>
          <cell r="G26" t="str">
            <v>-</v>
          </cell>
          <cell r="H26">
            <v>29</v>
          </cell>
          <cell r="I26">
            <v>2</v>
          </cell>
          <cell r="J26">
            <v>15</v>
          </cell>
          <cell r="K26">
            <v>9</v>
          </cell>
          <cell r="L26">
            <v>3</v>
          </cell>
          <cell r="M26">
            <v>7.6923076923076927E-2</v>
          </cell>
          <cell r="N26">
            <v>0.57692307692307687</v>
          </cell>
          <cell r="O26">
            <v>0.34615384615384615</v>
          </cell>
          <cell r="P26">
            <v>9.0909090909090905E-3</v>
          </cell>
        </row>
        <row r="27">
          <cell r="B27"/>
          <cell r="C27"/>
          <cell r="D27"/>
          <cell r="E27"/>
          <cell r="F27"/>
          <cell r="G27"/>
          <cell r="H27"/>
          <cell r="I27"/>
          <cell r="J27"/>
          <cell r="K27"/>
          <cell r="L27"/>
          <cell r="M27"/>
          <cell r="P27"/>
        </row>
        <row r="28">
          <cell r="B28"/>
        </row>
        <row r="29">
          <cell r="B29"/>
        </row>
        <row r="30">
          <cell r="B30"/>
        </row>
      </sheetData>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ención quirúrgica 2019"/>
      <sheetName val="Atención quirúrgica 2020"/>
      <sheetName val="PM Atención Quirúrgica"/>
      <sheetName val="Cumplimiento"/>
      <sheetName val="Instructivo"/>
      <sheetName val="Tabla informe"/>
      <sheetName val="Hoja2"/>
    </sheetNames>
    <sheetDataSet>
      <sheetData sheetId="0"/>
      <sheetData sheetId="1"/>
      <sheetData sheetId="2"/>
      <sheetData sheetId="3">
        <row r="6">
          <cell r="B6" t="str">
            <v>Auditoría Interna Proceso Atención Quirúrgica 2019</v>
          </cell>
          <cell r="C6">
            <v>4</v>
          </cell>
          <cell r="D6">
            <v>2</v>
          </cell>
          <cell r="E6">
            <v>45231</v>
          </cell>
          <cell r="F6" t="str">
            <v>SI</v>
          </cell>
          <cell r="G6">
            <v>2</v>
          </cell>
          <cell r="H6">
            <v>15</v>
          </cell>
          <cell r="I6">
            <v>11</v>
          </cell>
          <cell r="J6">
            <v>1</v>
          </cell>
          <cell r="K6">
            <v>3</v>
          </cell>
          <cell r="L6">
            <v>0</v>
          </cell>
          <cell r="M6">
            <v>0.73333333333333328</v>
          </cell>
          <cell r="N6">
            <v>6.6666666666666666E-2</v>
          </cell>
          <cell r="O6">
            <v>0.2</v>
          </cell>
          <cell r="P6">
            <v>0.5</v>
          </cell>
        </row>
        <row r="7">
          <cell r="B7" t="str">
            <v>Auditoría Interna Proceso Atención Quirúrgica 2020</v>
          </cell>
          <cell r="C7">
            <v>4</v>
          </cell>
          <cell r="D7">
            <v>0</v>
          </cell>
          <cell r="E7">
            <v>45231</v>
          </cell>
          <cell r="F7" t="str">
            <v>SI</v>
          </cell>
          <cell r="G7">
            <v>1</v>
          </cell>
          <cell r="H7">
            <v>4</v>
          </cell>
          <cell r="I7">
            <v>0</v>
          </cell>
          <cell r="J7">
            <v>0</v>
          </cell>
          <cell r="K7">
            <v>4</v>
          </cell>
          <cell r="L7">
            <v>0</v>
          </cell>
          <cell r="M7">
            <v>0</v>
          </cell>
          <cell r="N7">
            <v>0</v>
          </cell>
          <cell r="O7">
            <v>1</v>
          </cell>
          <cell r="P7">
            <v>0</v>
          </cell>
        </row>
        <row r="8">
          <cell r="B8"/>
          <cell r="C8"/>
          <cell r="D8"/>
          <cell r="E8"/>
          <cell r="F8" t="str">
            <v/>
          </cell>
          <cell r="G8" t="str">
            <v/>
          </cell>
          <cell r="H8" t="str">
            <v/>
          </cell>
          <cell r="I8" t="str">
            <v/>
          </cell>
          <cell r="J8" t="str">
            <v/>
          </cell>
          <cell r="K8" t="str">
            <v/>
          </cell>
          <cell r="L8" t="str">
            <v/>
          </cell>
          <cell r="M8" t="str">
            <v/>
          </cell>
          <cell r="N8" t="str">
            <v/>
          </cell>
          <cell r="O8" t="str">
            <v/>
          </cell>
          <cell r="P8" t="str">
            <v/>
          </cell>
        </row>
        <row r="9">
          <cell r="B9"/>
          <cell r="C9"/>
          <cell r="D9"/>
          <cell r="E9"/>
          <cell r="F9" t="str">
            <v/>
          </cell>
          <cell r="G9" t="str">
            <v/>
          </cell>
          <cell r="H9" t="str">
            <v/>
          </cell>
          <cell r="I9" t="str">
            <v/>
          </cell>
          <cell r="J9" t="str">
            <v/>
          </cell>
          <cell r="K9" t="str">
            <v/>
          </cell>
          <cell r="L9" t="str">
            <v/>
          </cell>
          <cell r="M9" t="str">
            <v/>
          </cell>
          <cell r="N9" t="str">
            <v/>
          </cell>
          <cell r="O9" t="str">
            <v/>
          </cell>
          <cell r="P9" t="str">
            <v/>
          </cell>
        </row>
        <row r="10">
          <cell r="B10"/>
          <cell r="C10"/>
          <cell r="D10"/>
          <cell r="E10"/>
          <cell r="F10" t="str">
            <v/>
          </cell>
          <cell r="G10" t="str">
            <v/>
          </cell>
          <cell r="H10" t="str">
            <v/>
          </cell>
          <cell r="I10" t="str">
            <v/>
          </cell>
          <cell r="J10" t="str">
            <v/>
          </cell>
          <cell r="K10" t="str">
            <v/>
          </cell>
          <cell r="L10" t="str">
            <v/>
          </cell>
          <cell r="M10" t="str">
            <v/>
          </cell>
          <cell r="N10" t="str">
            <v/>
          </cell>
          <cell r="O10" t="str">
            <v/>
          </cell>
          <cell r="P10" t="str">
            <v/>
          </cell>
        </row>
        <row r="11">
          <cell r="B11"/>
          <cell r="C11"/>
          <cell r="D11"/>
          <cell r="E11"/>
          <cell r="F11" t="str">
            <v/>
          </cell>
          <cell r="G11" t="str">
            <v/>
          </cell>
          <cell r="H11" t="str">
            <v/>
          </cell>
          <cell r="I11" t="str">
            <v/>
          </cell>
          <cell r="J11" t="str">
            <v/>
          </cell>
          <cell r="K11" t="str">
            <v/>
          </cell>
          <cell r="L11" t="str">
            <v/>
          </cell>
          <cell r="M11" t="str">
            <v/>
          </cell>
          <cell r="N11" t="str">
            <v/>
          </cell>
          <cell r="O11" t="str">
            <v/>
          </cell>
          <cell r="P11" t="str">
            <v/>
          </cell>
        </row>
        <row r="12">
          <cell r="B12"/>
          <cell r="C12"/>
          <cell r="D12"/>
          <cell r="E12"/>
          <cell r="F12" t="str">
            <v/>
          </cell>
          <cell r="G12" t="str">
            <v/>
          </cell>
          <cell r="H12" t="str">
            <v/>
          </cell>
          <cell r="I12" t="str">
            <v/>
          </cell>
          <cell r="J12" t="str">
            <v/>
          </cell>
          <cell r="K12" t="str">
            <v/>
          </cell>
          <cell r="L12" t="str">
            <v/>
          </cell>
          <cell r="M12" t="str">
            <v/>
          </cell>
          <cell r="N12" t="str">
            <v/>
          </cell>
          <cell r="O12" t="str">
            <v/>
          </cell>
          <cell r="P12" t="str">
            <v/>
          </cell>
        </row>
        <row r="13">
          <cell r="B13"/>
          <cell r="C13"/>
          <cell r="D13"/>
          <cell r="E13"/>
          <cell r="F13" t="str">
            <v/>
          </cell>
          <cell r="G13" t="str">
            <v/>
          </cell>
          <cell r="H13" t="str">
            <v/>
          </cell>
          <cell r="I13" t="str">
            <v/>
          </cell>
          <cell r="J13" t="str">
            <v/>
          </cell>
          <cell r="K13" t="str">
            <v/>
          </cell>
          <cell r="L13" t="str">
            <v/>
          </cell>
          <cell r="M13" t="str">
            <v/>
          </cell>
          <cell r="N13" t="str">
            <v/>
          </cell>
          <cell r="O13" t="str">
            <v/>
          </cell>
          <cell r="P13" t="str">
            <v/>
          </cell>
        </row>
        <row r="14">
          <cell r="B14"/>
          <cell r="C14"/>
          <cell r="D14"/>
          <cell r="E14"/>
          <cell r="F14" t="str">
            <v/>
          </cell>
          <cell r="G14" t="str">
            <v/>
          </cell>
          <cell r="H14" t="str">
            <v/>
          </cell>
          <cell r="I14" t="str">
            <v/>
          </cell>
          <cell r="J14" t="str">
            <v/>
          </cell>
          <cell r="K14" t="str">
            <v/>
          </cell>
          <cell r="L14" t="str">
            <v/>
          </cell>
          <cell r="M14" t="str">
            <v/>
          </cell>
          <cell r="N14" t="str">
            <v/>
          </cell>
          <cell r="O14" t="str">
            <v/>
          </cell>
          <cell r="P14" t="str">
            <v/>
          </cell>
        </row>
        <row r="15">
          <cell r="B15"/>
          <cell r="C15"/>
          <cell r="D15"/>
          <cell r="E15"/>
          <cell r="F15" t="str">
            <v/>
          </cell>
          <cell r="G15" t="str">
            <v/>
          </cell>
          <cell r="H15" t="str">
            <v/>
          </cell>
          <cell r="I15" t="str">
            <v/>
          </cell>
          <cell r="J15" t="str">
            <v/>
          </cell>
          <cell r="K15" t="str">
            <v/>
          </cell>
          <cell r="L15" t="str">
            <v/>
          </cell>
          <cell r="M15" t="str">
            <v/>
          </cell>
          <cell r="N15" t="str">
            <v/>
          </cell>
          <cell r="O15" t="str">
            <v/>
          </cell>
          <cell r="P15" t="str">
            <v/>
          </cell>
        </row>
        <row r="16">
          <cell r="B16"/>
          <cell r="C16"/>
          <cell r="D16"/>
          <cell r="E16"/>
          <cell r="F16" t="str">
            <v/>
          </cell>
          <cell r="G16" t="str">
            <v/>
          </cell>
          <cell r="H16" t="str">
            <v/>
          </cell>
          <cell r="I16" t="str">
            <v/>
          </cell>
          <cell r="J16" t="str">
            <v/>
          </cell>
          <cell r="K16" t="str">
            <v/>
          </cell>
          <cell r="L16" t="str">
            <v/>
          </cell>
          <cell r="M16" t="str">
            <v/>
          </cell>
          <cell r="N16" t="str">
            <v/>
          </cell>
          <cell r="O16" t="str">
            <v/>
          </cell>
          <cell r="P16" t="str">
            <v/>
          </cell>
        </row>
        <row r="17">
          <cell r="B17"/>
          <cell r="C17"/>
          <cell r="D17"/>
          <cell r="E17"/>
          <cell r="F17" t="str">
            <v/>
          </cell>
          <cell r="G17" t="str">
            <v/>
          </cell>
          <cell r="H17" t="str">
            <v/>
          </cell>
          <cell r="I17" t="str">
            <v/>
          </cell>
          <cell r="J17" t="str">
            <v/>
          </cell>
          <cell r="K17" t="str">
            <v/>
          </cell>
          <cell r="L17" t="str">
            <v/>
          </cell>
          <cell r="M17" t="str">
            <v/>
          </cell>
          <cell r="N17" t="str">
            <v/>
          </cell>
          <cell r="O17" t="str">
            <v/>
          </cell>
          <cell r="P17" t="str">
            <v/>
          </cell>
        </row>
        <row r="18">
          <cell r="B18"/>
          <cell r="C18"/>
          <cell r="D18"/>
          <cell r="E18"/>
          <cell r="F18" t="str">
            <v/>
          </cell>
          <cell r="G18" t="str">
            <v/>
          </cell>
          <cell r="H18" t="str">
            <v/>
          </cell>
          <cell r="I18" t="str">
            <v/>
          </cell>
          <cell r="J18" t="str">
            <v/>
          </cell>
          <cell r="K18" t="str">
            <v/>
          </cell>
          <cell r="L18" t="str">
            <v/>
          </cell>
          <cell r="M18" t="str">
            <v/>
          </cell>
          <cell r="N18" t="str">
            <v/>
          </cell>
          <cell r="O18" t="str">
            <v/>
          </cell>
          <cell r="P18" t="str">
            <v/>
          </cell>
        </row>
        <row r="19">
          <cell r="B19"/>
          <cell r="C19"/>
          <cell r="D19"/>
          <cell r="E19"/>
          <cell r="F19" t="str">
            <v/>
          </cell>
          <cell r="G19" t="str">
            <v/>
          </cell>
          <cell r="H19" t="str">
            <v/>
          </cell>
          <cell r="I19" t="str">
            <v/>
          </cell>
          <cell r="J19" t="str">
            <v/>
          </cell>
          <cell r="K19" t="str">
            <v/>
          </cell>
          <cell r="L19" t="str">
            <v/>
          </cell>
          <cell r="M19" t="str">
            <v/>
          </cell>
          <cell r="N19" t="str">
            <v/>
          </cell>
          <cell r="O19" t="str">
            <v/>
          </cell>
          <cell r="P19" t="str">
            <v/>
          </cell>
        </row>
        <row r="20">
          <cell r="B20"/>
          <cell r="C20"/>
          <cell r="D20"/>
          <cell r="E20"/>
          <cell r="F20" t="str">
            <v/>
          </cell>
          <cell r="G20" t="str">
            <v/>
          </cell>
          <cell r="H20" t="str">
            <v/>
          </cell>
          <cell r="I20" t="str">
            <v/>
          </cell>
          <cell r="J20" t="str">
            <v/>
          </cell>
          <cell r="K20" t="str">
            <v/>
          </cell>
          <cell r="L20" t="str">
            <v/>
          </cell>
          <cell r="M20" t="str">
            <v/>
          </cell>
          <cell r="N20" t="str">
            <v/>
          </cell>
          <cell r="O20" t="str">
            <v/>
          </cell>
          <cell r="P20" t="str">
            <v/>
          </cell>
        </row>
        <row r="21">
          <cell r="B21"/>
          <cell r="C21"/>
          <cell r="D21"/>
          <cell r="E21"/>
          <cell r="F21" t="str">
            <v/>
          </cell>
          <cell r="G21" t="str">
            <v/>
          </cell>
          <cell r="H21" t="str">
            <v/>
          </cell>
          <cell r="I21" t="str">
            <v/>
          </cell>
          <cell r="J21" t="str">
            <v/>
          </cell>
          <cell r="K21" t="str">
            <v/>
          </cell>
          <cell r="L21" t="str">
            <v/>
          </cell>
          <cell r="M21" t="str">
            <v/>
          </cell>
          <cell r="N21" t="str">
            <v/>
          </cell>
          <cell r="O21" t="str">
            <v/>
          </cell>
          <cell r="P21" t="str">
            <v/>
          </cell>
        </row>
        <row r="22">
          <cell r="B22"/>
          <cell r="C22"/>
          <cell r="D22"/>
          <cell r="E22"/>
          <cell r="F22" t="str">
            <v/>
          </cell>
          <cell r="G22" t="str">
            <v/>
          </cell>
          <cell r="H22" t="str">
            <v/>
          </cell>
          <cell r="I22" t="str">
            <v/>
          </cell>
          <cell r="J22" t="str">
            <v/>
          </cell>
          <cell r="K22" t="str">
            <v/>
          </cell>
          <cell r="L22" t="str">
            <v/>
          </cell>
          <cell r="M22" t="str">
            <v/>
          </cell>
          <cell r="N22" t="str">
            <v/>
          </cell>
          <cell r="O22" t="str">
            <v/>
          </cell>
          <cell r="P22" t="str">
            <v/>
          </cell>
        </row>
        <row r="23">
          <cell r="B23"/>
          <cell r="C23"/>
          <cell r="D23"/>
          <cell r="E23"/>
          <cell r="F23" t="str">
            <v/>
          </cell>
          <cell r="G23" t="str">
            <v/>
          </cell>
          <cell r="H23" t="str">
            <v/>
          </cell>
          <cell r="I23" t="str">
            <v/>
          </cell>
          <cell r="J23" t="str">
            <v/>
          </cell>
          <cell r="K23" t="str">
            <v/>
          </cell>
          <cell r="L23" t="str">
            <v/>
          </cell>
          <cell r="M23" t="str">
            <v/>
          </cell>
          <cell r="N23" t="str">
            <v/>
          </cell>
          <cell r="O23" t="str">
            <v/>
          </cell>
          <cell r="P23" t="str">
            <v/>
          </cell>
        </row>
        <row r="24">
          <cell r="B24"/>
          <cell r="C24"/>
          <cell r="D24"/>
          <cell r="E24"/>
          <cell r="F24" t="str">
            <v/>
          </cell>
          <cell r="G24" t="str">
            <v/>
          </cell>
          <cell r="H24" t="str">
            <v/>
          </cell>
          <cell r="I24" t="str">
            <v/>
          </cell>
          <cell r="J24" t="str">
            <v/>
          </cell>
          <cell r="K24" t="str">
            <v/>
          </cell>
          <cell r="L24" t="str">
            <v/>
          </cell>
          <cell r="M24" t="str">
            <v/>
          </cell>
          <cell r="N24" t="str">
            <v/>
          </cell>
          <cell r="O24" t="str">
            <v/>
          </cell>
          <cell r="P24" t="str">
            <v/>
          </cell>
        </row>
        <row r="25">
          <cell r="B25"/>
          <cell r="C25"/>
          <cell r="D25"/>
          <cell r="E25"/>
          <cell r="F25" t="str">
            <v/>
          </cell>
          <cell r="G25" t="str">
            <v/>
          </cell>
          <cell r="H25" t="str">
            <v/>
          </cell>
          <cell r="I25" t="str">
            <v/>
          </cell>
          <cell r="J25" t="str">
            <v/>
          </cell>
          <cell r="K25" t="str">
            <v/>
          </cell>
          <cell r="L25" t="str">
            <v/>
          </cell>
          <cell r="M25" t="str">
            <v/>
          </cell>
          <cell r="N25" t="str">
            <v/>
          </cell>
          <cell r="O25" t="str">
            <v/>
          </cell>
          <cell r="P25" t="str">
            <v/>
          </cell>
        </row>
        <row r="26">
          <cell r="B26" t="str">
            <v>TOTAL AUDITORIAS: 2</v>
          </cell>
          <cell r="C26">
            <v>8</v>
          </cell>
          <cell r="D26">
            <v>2</v>
          </cell>
          <cell r="E26" t="str">
            <v>-</v>
          </cell>
          <cell r="F26">
            <v>1</v>
          </cell>
          <cell r="G26" t="str">
            <v>-</v>
          </cell>
          <cell r="H26">
            <v>19</v>
          </cell>
          <cell r="I26">
            <v>11</v>
          </cell>
          <cell r="J26">
            <v>1</v>
          </cell>
          <cell r="K26">
            <v>7</v>
          </cell>
          <cell r="L26">
            <v>0</v>
          </cell>
          <cell r="M26">
            <v>0.57894736842105265</v>
          </cell>
          <cell r="N26">
            <v>5.2631578947368418E-2</v>
          </cell>
          <cell r="O26">
            <v>0.36842105263157893</v>
          </cell>
          <cell r="P26">
            <v>0.25</v>
          </cell>
        </row>
        <row r="27">
          <cell r="B27"/>
          <cell r="C27"/>
          <cell r="D27"/>
          <cell r="E27"/>
          <cell r="F27"/>
          <cell r="G27"/>
        </row>
        <row r="28">
          <cell r="B28"/>
          <cell r="F28"/>
        </row>
        <row r="29">
          <cell r="B29"/>
          <cell r="F29"/>
        </row>
        <row r="30">
          <cell r="B30"/>
          <cell r="F30"/>
        </row>
      </sheetData>
      <sheetData sheetId="4"/>
      <sheetData sheetId="5"/>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PROCESO%20ATENCI&#211;N%20EN%20P%20Y%20P\INFORME%20ATENCI&#211;N%20EN%20PROMOCI&#211;N%20Y%20PREVENCI&#211;N%202019%20-%2019122019.pdf" TargetMode="External"/><Relationship Id="rId21" Type="http://schemas.openxmlformats.org/officeDocument/2006/relationships/hyperlink" Target="PROCESO%20ATENCI&#211;N%20EN%20URGENCIAS\INFORME%20ATENCION%20EN%20URGENCIAS%202019%20-%2015082019.pdf" TargetMode="External"/><Relationship Id="rId42" Type="http://schemas.openxmlformats.org/officeDocument/2006/relationships/hyperlink" Target="PROCESO%20GESTI&#211;N%20JUR&#205;DICA\INFORME%20GESTION%20JURIDICA%202021%20-%2006042021.pdf" TargetMode="External"/><Relationship Id="rId47" Type="http://schemas.openxmlformats.org/officeDocument/2006/relationships/hyperlink" Target="PROCESO%20GESTI&#211;N%20LOG&#205;STICA\INFORME%20MANTENIMIENTO%20DE%20BIENES%20-%20EQUIPOS%20BIOMEDICOS%202021%20-%2021102021.pdf" TargetMode="External"/><Relationship Id="rId63" Type="http://schemas.openxmlformats.org/officeDocument/2006/relationships/hyperlink" Target="PROCESO%20GESTI&#211;N%20LOG&#205;STICA\INFORME%20ASEGURAMIENTO%20DE%20BIENES%20MUEBLES%202022%20-%2010082022.pdf" TargetMode="External"/><Relationship Id="rId68" Type="http://schemas.openxmlformats.org/officeDocument/2006/relationships/hyperlink" Target="PROCESO%20GESTI&#211;N%20DE%20LA%20CONTRATACI&#211;N\INFORME%20CONTRATACION%20ADQUISICI&#211;N%20DE%20SERVICIOS%202021%20-%2006092021.pdf" TargetMode="External"/><Relationship Id="rId16" Type="http://schemas.openxmlformats.org/officeDocument/2006/relationships/hyperlink" Target="PROCESO%20GESTI&#211;N%20VENTA%20DE%20SERVICIOS\INFORME%20GESTI&#211;N%20VENTA%20DE%20SERVICIOS%202020%20-%2020102020.pdf" TargetMode="External"/><Relationship Id="rId11" Type="http://schemas.openxmlformats.org/officeDocument/2006/relationships/hyperlink" Target="PROCESO%20GESTI&#211;N%20FINANCIERA\INFORME%20CUADRE%20DE%20CAJA%202023-2%20-%2019072023.pdf" TargetMode="External"/><Relationship Id="rId32" Type="http://schemas.openxmlformats.org/officeDocument/2006/relationships/hyperlink" Target="PROCESO%20ATENCI&#211;N%20EN%20IM&#193;GENES%20DIAGN&#211;STICAS\INFORME%20ATENCI&#211;N%20EN%20IM&#193;GENES%20DIAGN&#211;ST%202020%20-%2016072020.pdf" TargetMode="External"/><Relationship Id="rId37" Type="http://schemas.openxmlformats.org/officeDocument/2006/relationships/hyperlink" Target="PROCESO%20ATENCI&#211;N%20QUIR&#218;RGICA\INFORME%20ATENCION%20QUIRURGICA%202020%20-%2029102020.pdf" TargetMode="External"/><Relationship Id="rId53" Type="http://schemas.openxmlformats.org/officeDocument/2006/relationships/hyperlink" Target="PROCESO%20GESTI&#211;N%20SERVICIO%20FARMAC&#201;UTICO\INFORME%20GESTION%20MEDICAMENTOS%20CONTROL%20ESPECIAL%202022%20-%2025112022.pdf" TargetMode="External"/><Relationship Id="rId58" Type="http://schemas.openxmlformats.org/officeDocument/2006/relationships/hyperlink" Target="SIN%20PROCESO%20-%20REFERENCIA%20Y%20CONTRARREFERENCIA\INFORME%20REFERENCIA%20Y%20CONTRARREFERENCIA%202023%20-%2016082023.pdf" TargetMode="External"/><Relationship Id="rId74" Type="http://schemas.openxmlformats.org/officeDocument/2006/relationships/hyperlink" Target="PROCESO%20GESTI&#211;N%20VENTA%20DE%20SERVICIOS\INFORME%20SUPERVISI&#211;N%20CONTRATOS%20VIGENCIA%202022%20-%2017032022.pdf" TargetMode="External"/><Relationship Id="rId79" Type="http://schemas.openxmlformats.org/officeDocument/2006/relationships/hyperlink" Target="PROCESO%20GESTI&#211;N%20SISTEMA%20DE%20INFORMACI&#211;N\INFORME%20SEGURIDAD%20DE%20LA%20INFORMACI&#211;N%202023%20-%2023112023.pdf" TargetMode="External"/><Relationship Id="rId5" Type="http://schemas.openxmlformats.org/officeDocument/2006/relationships/hyperlink" Target="PROCESO%20GESTI&#211;N%20FINANCIERA\INFORME%20CUADRE%20DE%20CAJA%202021-2%20-%2029102021.pdf" TargetMode="External"/><Relationship Id="rId61" Type="http://schemas.openxmlformats.org/officeDocument/2006/relationships/hyperlink" Target="PROCESO%20GESTI&#211;N%20LOG&#205;STICA\INFORME%20INSTRUCTIVO%20LEGALIZACI&#211;N%20DE%20DONACIONES%202022%20-%2016062022%20.pdf" TargetMode="External"/><Relationship Id="rId82" Type="http://schemas.openxmlformats.org/officeDocument/2006/relationships/hyperlink" Target="PROCESO%20GESTI&#211;N%20FINANCIERA\INFORME%20CUADRE%20DE%20CAJA%202023-3%20-%2027122023.pdf" TargetMode="External"/><Relationship Id="rId19" Type="http://schemas.openxmlformats.org/officeDocument/2006/relationships/hyperlink" Target="PROCESO%20GESTI&#211;N%20JUR&#205;DICA\INFORME%20GESTI&#211;N%20JUR&#205;DICA%202019%20-%2022112019.pdf" TargetMode="External"/><Relationship Id="rId14" Type="http://schemas.openxmlformats.org/officeDocument/2006/relationships/hyperlink" Target="PROCESO%20GESTI&#211;N%20FINANCIERA\INFORME%20GESTI&#211;N%20FINANCIERA%202021%20-%2009022022.pdf" TargetMode="External"/><Relationship Id="rId22" Type="http://schemas.openxmlformats.org/officeDocument/2006/relationships/hyperlink" Target="PROCESO%20ATENCI&#211;N%20EN%20HOSPITALIZACI&#211;N\INFORME%20ATENCI&#211;N%20EN%20HOSPITALIZACI&#211;N%202019%20-%2019092019.pdf" TargetMode="External"/><Relationship Id="rId27" Type="http://schemas.openxmlformats.org/officeDocument/2006/relationships/hyperlink" Target="PROCESO%20GESTI&#211;N%20LOG&#205;STICA\INFORME%20CONTROL%20DE%20INVENTARIO%202019%20-%2012122019.pdf" TargetMode="External"/><Relationship Id="rId30" Type="http://schemas.openxmlformats.org/officeDocument/2006/relationships/hyperlink" Target="PROCESO%20ATENCI&#211;N%20EN%20URGENCIAS\INFORME%20ATENCION%20EN%20URGENCIAS%202020%20-%2006042020.pdf" TargetMode="External"/><Relationship Id="rId35" Type="http://schemas.openxmlformats.org/officeDocument/2006/relationships/hyperlink" Target="PROCESO%20ATENCI&#211;N%20EN%20P%20Y%20P\INFORME%20ATENCI&#211;N%20EN%20PROMOCI&#211;N%20Y%20PREVENCI&#211;N%202020%20-%2024092020.pdf" TargetMode="External"/><Relationship Id="rId43" Type="http://schemas.openxmlformats.org/officeDocument/2006/relationships/hyperlink" Target="PROCESO%20GESTI&#211;N%20LOG&#205;STICA\INFORME%20CONTROL%20DE%20INVENTARIO%20-%20LEGALIZACI&#211;N%20DONACIONES%202021%20-%2026052021.pdf" TargetMode="External"/><Relationship Id="rId48" Type="http://schemas.openxmlformats.org/officeDocument/2006/relationships/hyperlink" Target="SIN%20PROCESO%20-%20REFERENCIA%20Y%20CONTRARREFERENCIA\INFORME%20REFERENCIA%20Y%20CONTRARREFERENCIA%202021%20-%2003112021%20.pdf" TargetMode="External"/><Relationship Id="rId56" Type="http://schemas.openxmlformats.org/officeDocument/2006/relationships/hyperlink" Target="PROCESO%20GESTI&#211;N%20FINANCIERA\INFORME%20GESTI&#211;N%20FINANCIERA%20TESORERIA%202023%20-%2003052023.pdf" TargetMode="External"/><Relationship Id="rId64" Type="http://schemas.openxmlformats.org/officeDocument/2006/relationships/hyperlink" Target="SIN%20PROCESO%20-%20AUDITOR&#205;AS%20INTEGRALES\INFORME%20AUDITOR&#205;A%20INTEGRAL%20UPSS%203%202023%20-%20NUEVO%20OCCIDENTE%2030102023.pdf" TargetMode="External"/><Relationship Id="rId69" Type="http://schemas.openxmlformats.org/officeDocument/2006/relationships/hyperlink" Target="PROCESO%20GESTI&#211;N%20SALUD%20P&#218;BLICA%20Y%20TERRITORIAL\INFORME%20LIQUIDACI&#211;N%20CONVENIOS%20INTERADMINISTRATIVOS%202021%20-%2029122021.pdf" TargetMode="External"/><Relationship Id="rId77" Type="http://schemas.openxmlformats.org/officeDocument/2006/relationships/hyperlink" Target="PROCESO%20DIRECCIONAMIENTO%20Y%20PLANEACI&#211;N\INFORME%20TABLERO%20DE%20INDICADORES%20PLAN%20DE%20DESARROLLO%202023%20-%2010032023.pdf" TargetMode="External"/><Relationship Id="rId8" Type="http://schemas.openxmlformats.org/officeDocument/2006/relationships/hyperlink" Target="PROCESO%20GESTI&#211;N%20FINANCIERA\INFORME%20CUADRE%20DE%20CAJA%202022-2%20-%2003112022.pdf" TargetMode="External"/><Relationship Id="rId51" Type="http://schemas.openxmlformats.org/officeDocument/2006/relationships/hyperlink" Target="PROCESO%20GESTI&#211;N%20TALENTO%20HUMANO\INFORME%20GESTI&#211;N%20TALENTO%20HUMANO%202021%20-%2009112021.pdf" TargetMode="External"/><Relationship Id="rId72" Type="http://schemas.openxmlformats.org/officeDocument/2006/relationships/hyperlink" Target="PROCESO%20GESTI&#211;N%20VENTA%20DE%20SERVICIOS\INFORME%20EVALUACI&#211;N%20SUPERVISI&#211;N%20CONTRATOS%202020%20-%2020102020.pdf" TargetMode="External"/><Relationship Id="rId80" Type="http://schemas.openxmlformats.org/officeDocument/2006/relationships/hyperlink" Target="SIN%20PROCESO%20-%20COMUNICACI&#211;N%20ORGANIZACIONAL\INFORME%20COMPONENTE%20COMUNICACI&#211;N%20ORGANIZACIONAL%202022%20-%2006102022.pdf" TargetMode="External"/><Relationship Id="rId3" Type="http://schemas.openxmlformats.org/officeDocument/2006/relationships/hyperlink" Target="PROCESO%20GESTI&#211;N%20FINANCIERA\INFORME%20GESTI&#211;N%20FINANCIERA%202020%20-%2022122020.pdf" TargetMode="External"/><Relationship Id="rId12" Type="http://schemas.openxmlformats.org/officeDocument/2006/relationships/hyperlink" Target="PROCESO%20GESTI&#211;N%20FINANCIERA\INFORME%20CAJAS%20MENORES%202023%20-%2012072023.pdf" TargetMode="External"/><Relationship Id="rId17" Type="http://schemas.openxmlformats.org/officeDocument/2006/relationships/hyperlink" Target="PROCESO%20GESTI&#211;N%20VENTA%20DE%20SERVICIOS\INFORME%20GESTI&#211;N%20VENTA%20DE%20SERVICIOS%202023%20-%2028032023.pdf" TargetMode="External"/><Relationship Id="rId25" Type="http://schemas.openxmlformats.org/officeDocument/2006/relationships/hyperlink" Target="PROCESO%20ATENCI&#211;N%20AMBULATORIA\INFORME%20ATENCI&#211;N%20AMBULATORIA%202019%20-%2019122019.pdf" TargetMode="External"/><Relationship Id="rId33" Type="http://schemas.openxmlformats.org/officeDocument/2006/relationships/hyperlink" Target="PROCESO%20ATENCI&#211;N%20EN%20HOSPITALIZACI&#211;N\INFORME%20CONSENTIMIENTO%20INFORMADO%202020%20-%2007092020.pdf" TargetMode="External"/><Relationship Id="rId38" Type="http://schemas.openxmlformats.org/officeDocument/2006/relationships/hyperlink" Target="PROCESO%20GESTI&#211;N%20TALENTO%20HUMANO\INFORME%20GESTI&#211;N%20TALENTO%20HUMANO%20PROGRAMA%20DE%20VIVIENDA%202020%20-%2011092020.pdf" TargetMode="External"/><Relationship Id="rId46" Type="http://schemas.openxmlformats.org/officeDocument/2006/relationships/hyperlink" Target="PROCESO%20GESTI&#211;N%20LOG&#205;STICA\INFORME%20SEGURIDAD%20HOSPITALARIA%20SERVICIOS%20DE%20URGENCIAS%202021%20-%2003082021.pdf" TargetMode="External"/><Relationship Id="rId59" Type="http://schemas.openxmlformats.org/officeDocument/2006/relationships/hyperlink" Target="PROCESO%20GESTI&#211;N%20TALENTO%20HUMANO\INFORME%20GESTI&#211;N%20TALENTO%20HUMANO%202023%20-%2009102023.pdf" TargetMode="External"/><Relationship Id="rId67" Type="http://schemas.openxmlformats.org/officeDocument/2006/relationships/hyperlink" Target="PROCESO%20GESTI&#211;N%20DE%20LA%20CONTRATACI&#211;N\INFORME%20CONTRATACION%20BIENES%20Y%20SERVICIOS%202023-3%20-%2009112023.pdf" TargetMode="External"/><Relationship Id="rId20" Type="http://schemas.openxmlformats.org/officeDocument/2006/relationships/hyperlink" Target="PROCESO%20ATENCI&#211;N%20QUIR&#218;RGICA\INFORME%20ATENCION%20QUIRURGICA%202019%20-%2028052019%20.pdf" TargetMode="External"/><Relationship Id="rId41" Type="http://schemas.openxmlformats.org/officeDocument/2006/relationships/hyperlink" Target="PROCESO%20GESTI&#211;N%20TALENTO%20HUMANO\INFORME%20GESTI&#211;N%20CUADRO%20DE%20TURNOS%202021%20-%2012032021.pdf" TargetMode="External"/><Relationship Id="rId54" Type="http://schemas.openxmlformats.org/officeDocument/2006/relationships/hyperlink" Target="PROCESO%20GESTI&#211;N%20SERVICIO%20FARMAC&#201;UTICO\INFORME%20GESTI&#211;N%20SERVICIO%20FARMAC&#201;UTICO%202023%20-%2007032023.pdf" TargetMode="External"/><Relationship Id="rId62" Type="http://schemas.openxmlformats.org/officeDocument/2006/relationships/hyperlink" Target="PROCESO%20GESTI&#211;N%20LOG&#205;STICA\INFORME%20GESTI&#211;N%20DE%20BIENES%20MUEBLES%202022-%2003062022.pdf" TargetMode="External"/><Relationship Id="rId70" Type="http://schemas.openxmlformats.org/officeDocument/2006/relationships/hyperlink" Target="PROCESO%20GESTI&#211;N%20SALUD%20P&#218;BLICA%20Y%20TERRITORIAL\INFORME%20CONDICIONES%20ALMACENAMIENTO%20PROYECTOS%20SALUD%20P&#218;BLICA%202022%20-%2016032022.pdf" TargetMode="External"/><Relationship Id="rId75" Type="http://schemas.openxmlformats.org/officeDocument/2006/relationships/hyperlink" Target="PROCESO%20GESTI&#211;N%20FINANCIERA\INFORME%20GESTI&#211;N%20FINANCIERA%20PRESUPUESTO%202023%20-%2026102023.pdf" TargetMode="External"/><Relationship Id="rId83" Type="http://schemas.openxmlformats.org/officeDocument/2006/relationships/printerSettings" Target="../printerSettings/printerSettings1.bin"/><Relationship Id="rId1" Type="http://schemas.openxmlformats.org/officeDocument/2006/relationships/hyperlink" Target="PROCESO%20GESTI&#211;N%20FINANCIERA\INFORME%20GESTI&#211;N%20FINANCIERA%202019%20-%2011122019.pdf" TargetMode="External"/><Relationship Id="rId6" Type="http://schemas.openxmlformats.org/officeDocument/2006/relationships/hyperlink" Target="PROCESO%20GESTI&#211;N%20FINANCIERA\INFORME%20FACTURACI&#211;N,%20CARTERA,%20GLOSAS%202021%20-%2030062021.pdf" TargetMode="External"/><Relationship Id="rId15" Type="http://schemas.openxmlformats.org/officeDocument/2006/relationships/hyperlink" Target="PROCESO%20GESTI&#211;N%20VENTA%20DE%20SERVICIOS\INFORME%20GESTI&#211;N%20VENTA%20DE%20SERVICIOS%202019%20-%2005082019.pdf" TargetMode="External"/><Relationship Id="rId23" Type="http://schemas.openxmlformats.org/officeDocument/2006/relationships/hyperlink" Target="PROCESO%20GESTI&#211;N%20SERVICIO%20FARMAC&#201;UTICO\INFORME%20GESTI&#211;N%20SERVICIO%20FARMAC&#201;UTICO%202019%20-%2024102019.pdf" TargetMode="External"/><Relationship Id="rId28" Type="http://schemas.openxmlformats.org/officeDocument/2006/relationships/hyperlink" Target="PROCESO%20GESTI&#211;N%20DOCUMENTAL\INFORME%20MANEJO%20DE%20ARCHIVO%20CL&#205;NICO%202021%20-%2017092021.pdf" TargetMode="External"/><Relationship Id="rId36" Type="http://schemas.openxmlformats.org/officeDocument/2006/relationships/hyperlink" Target="PROCESO%20GESTI&#211;N%20SERVICIO%20FARMAC&#201;UTICO\INFORME%20GESTI&#211;N%20SERVICIO%20FARMAC&#201;UTICO%202020%20-%2020102020.pdf" TargetMode="External"/><Relationship Id="rId49" Type="http://schemas.openxmlformats.org/officeDocument/2006/relationships/hyperlink" Target="PROCESO%20ATENCI&#211;N%20EN%20HOSPITALIZACI&#211;N\INFORME%20GESTI&#211;N%20DE%20CAMAS%202021%20-%2005102021.pdf" TargetMode="External"/><Relationship Id="rId57" Type="http://schemas.openxmlformats.org/officeDocument/2006/relationships/hyperlink" Target="SIN%20PROCESO%20-%20AUDITOR&#205;AS%20INTEGRALES\INFORME%20AUDITOR&#205;A%20INTEGRAL%20UPSS%202%202023-%2018072023.pdf" TargetMode="External"/><Relationship Id="rId10" Type="http://schemas.openxmlformats.org/officeDocument/2006/relationships/hyperlink" Target="PROCESO%20GESTI&#211;N%20FINANCIERA\INFORME%20CUADRE%20DE%20CAJA%202023-1%20-%2027022023.pdf" TargetMode="External"/><Relationship Id="rId31" Type="http://schemas.openxmlformats.org/officeDocument/2006/relationships/hyperlink" Target="PROCESO%20GESTI&#211;N%20TALENTO%20HUMANO\INFORME%20PAGO%20DE%20N&#211;MINA%20CONDUCTORES%20AMBULANCIA%202020%20-%2027072020.pdf" TargetMode="External"/><Relationship Id="rId44" Type="http://schemas.openxmlformats.org/officeDocument/2006/relationships/hyperlink" Target="PROCESO%20ATENCI&#211;N%20EN%20HOSPITALIZACI&#211;N\INFORME%20ATENCI&#211;N%20EN%20HOSPITALIZACI&#211;N%202021%20-%2012082021.pdf" TargetMode="External"/><Relationship Id="rId52" Type="http://schemas.openxmlformats.org/officeDocument/2006/relationships/hyperlink" Target="PROCESO%20GESTI&#211;N%20LOG&#205;STICA\INFORME%20MANTENIMIENTO%20DE%20BIENES%20-%20EQUIPOS%20BIOM&#201;DICOS%202022%20-%2028032022.pdf" TargetMode="External"/><Relationship Id="rId60" Type="http://schemas.openxmlformats.org/officeDocument/2006/relationships/hyperlink" Target="PROCESO%20GESTI&#211;N%20LOG&#205;STICA\INFORME%20CONTRATO%20INTERMEDIACI&#211;N%20DE%20SEGUROS%202020%20-%2002072020.pdf" TargetMode="External"/><Relationship Id="rId65" Type="http://schemas.openxmlformats.org/officeDocument/2006/relationships/hyperlink" Target="PROCESO%20GESTI&#211;N%20DE%20LA%20CONTRATACI&#211;N\INFORME%20CONTRATACION%20BIENES%20Y%20SERVICIOS%202023-1%20-%2020062023.pdf" TargetMode="External"/><Relationship Id="rId73" Type="http://schemas.openxmlformats.org/officeDocument/2006/relationships/hyperlink" Target="PROCESO%20GESTI&#211;N%20VENTA%20DE%20SERVICIOS\INFORME%20CONTRATACI&#211;N%20PRESTACI&#211;N%20DE%20SERVICIOS%202021%20-%2018052021.pdf" TargetMode="External"/><Relationship Id="rId78" Type="http://schemas.openxmlformats.org/officeDocument/2006/relationships/hyperlink" Target="PROCESO%20DESARROLLO%20DEL%20SISTEMA%20DE%20GESTI&#211;N\INFORME%20DESARROLLO%20SISTEMA%20DE%20GESTI&#211;N%202021%20-%2004062021.pdf" TargetMode="External"/><Relationship Id="rId81" Type="http://schemas.openxmlformats.org/officeDocument/2006/relationships/hyperlink" Target="PROCESO%20GESTI&#211;N%20LOG&#205;STICA\INFORME%20CONTROL%20DE%20INVENTARIO%20BIENES%20MUEBLES%202023%20-10112023.pdf" TargetMode="External"/><Relationship Id="rId4" Type="http://schemas.openxmlformats.org/officeDocument/2006/relationships/hyperlink" Target="PROCESO%20GESTI&#211;N%20FINANCIERA\INFORME%20CUADRE%20DE%20CAJA%202021-1%20-%2011062021.pdf" TargetMode="External"/><Relationship Id="rId9" Type="http://schemas.openxmlformats.org/officeDocument/2006/relationships/hyperlink" Target="PROCESO%20GESTI&#211;N%20FINANCIERA\INFORME%20CAJAS%20MENORES%202022-%2020092022.pdf" TargetMode="External"/><Relationship Id="rId13" Type="http://schemas.openxmlformats.org/officeDocument/2006/relationships/hyperlink" Target="PROCESO%20GESTI&#211;N%20FINANCIERA\INFORME%20FACTURACI&#211;N,%20CARTERA,%20GLOSAS%202023%20-%2029082023.pdf" TargetMode="External"/><Relationship Id="rId18" Type="http://schemas.openxmlformats.org/officeDocument/2006/relationships/hyperlink" Target="PROCESO%20GESTI&#211;N%20DOCUMENTAL\INFORME%20GESTI&#211;N%20DOCUMENTAL%202019%20-%2012122019.pdf" TargetMode="External"/><Relationship Id="rId39" Type="http://schemas.openxmlformats.org/officeDocument/2006/relationships/hyperlink" Target="PROCESO%20GESTI&#211;N%20DOCENCIA%20SERVICIO\INFORME%20GESTI&#211;N%20DOCENCIA%20SERVICIO%202020%20-%2030112020.pdf" TargetMode="External"/><Relationship Id="rId34" Type="http://schemas.openxmlformats.org/officeDocument/2006/relationships/hyperlink" Target="PROCESO%20ATENCI&#211;N%20EN%20LABORATORIO%20CL&#205;NICO\INFORME%20ATENCI&#211;N%20EN%20LABORATORIO%20CL&#205;NICO%202020%20-%2006112020.pdf" TargetMode="External"/><Relationship Id="rId50" Type="http://schemas.openxmlformats.org/officeDocument/2006/relationships/hyperlink" Target="PROCESO%20GESTI&#211;N%20LOG&#205;STICA\INFORME%20CONTROL%20DE%20INVENTARIO%202021%20-%2030102021.pdf" TargetMode="External"/><Relationship Id="rId55" Type="http://schemas.openxmlformats.org/officeDocument/2006/relationships/hyperlink" Target="SIN%20PROCESO%20-%20AUDITOR&#205;AS%20INTEGRALES\INFORME%20AUDITORIA%20INTEGRAL%20UPSS%201%20SEGUIMIENTO%20PLAN%20SUPERSALUD%202023%20-%2025042023%20ANEXO.pdf" TargetMode="External"/><Relationship Id="rId76" Type="http://schemas.openxmlformats.org/officeDocument/2006/relationships/hyperlink" Target="PROCESO%20DIRECCIONAMIENTO%20Y%20PLANEACI&#211;N\INFORME%20PAMEC%202022%20-%2024052022.pdf" TargetMode="External"/><Relationship Id="rId7" Type="http://schemas.openxmlformats.org/officeDocument/2006/relationships/hyperlink" Target="PROCESO%20GESTI&#211;N%20FINANCIERA\INFORME%20CUADRE%20DE%20CAJA%202022-1%20-%2025012022.pdf" TargetMode="External"/><Relationship Id="rId71" Type="http://schemas.openxmlformats.org/officeDocument/2006/relationships/hyperlink" Target="PROCESO%20GESTI&#211;N%20SALUD%20P&#218;BLICA%20Y%20TERRITORIAL\INFORME%20PROYECTOS%20SALUD%20PUBLICA%20-%20MAITE%202022%20-%2006102022.pdf" TargetMode="External"/><Relationship Id="rId2" Type="http://schemas.openxmlformats.org/officeDocument/2006/relationships/hyperlink" Target="PROCESO%20GESTI&#211;N%20FINANCIERA\INFORME%20CAJAS%20MENORES%202019%20-%2020022019.pdf" TargetMode="External"/><Relationship Id="rId29" Type="http://schemas.openxmlformats.org/officeDocument/2006/relationships/hyperlink" Target="PROCESO%20GESTI&#211;N%20LOG&#205;STICA\INFORME%20CONTROL%20DE%20INVENTARIO%20DE%20BIENES%202020%20-%2020052020.pdf" TargetMode="External"/><Relationship Id="rId24" Type="http://schemas.openxmlformats.org/officeDocument/2006/relationships/hyperlink" Target="PROCESO%20ATENCI&#211;N%20EN%20LABORATORIO%20CL&#205;NICO\INFORME%20ATENCI&#211;N%20EN%20LABORATORIO%20CL&#205;NICO%202019%20-%2002122019.pdf" TargetMode="External"/><Relationship Id="rId40" Type="http://schemas.openxmlformats.org/officeDocument/2006/relationships/hyperlink" Target="PROCESO%20ATENCI&#211;N%20EN%20HOSPITALIZACI&#211;N\INFORME%20ATENCI&#211;N%20EN%20HOSPITALIZACI&#211;N%202020%20-%2026112020.pdf" TargetMode="External"/><Relationship Id="rId45" Type="http://schemas.openxmlformats.org/officeDocument/2006/relationships/hyperlink" Target="PROCESO%20ATENCI&#211;N%20EN%20P%20Y%20P\INFORME%20CICLO%20DE%20ATENCI&#211;N%20MATERNO%20PERINATAL%202021%20-%2006092021.pdf" TargetMode="External"/><Relationship Id="rId66" Type="http://schemas.openxmlformats.org/officeDocument/2006/relationships/hyperlink" Target="PROCESO%20GESTI&#211;N%20DE%20LA%20CONTRATACI&#211;N\INFORME%20CONTRATACION%20BIENES%20Y%20SERVICIOS%202023-2%20-%2005072023.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6" Type="http://schemas.openxmlformats.org/officeDocument/2006/relationships/hyperlink" Target="PROCESO%20ATENCI&#211;N%20EN%20P%20Y%20P\INFORME%20ATENCI&#211;N%20EN%20PROMOCI&#211;N%20Y%20PREVENCI&#211;N%202019%20-%2019122019.pdf" TargetMode="External"/><Relationship Id="rId21" Type="http://schemas.openxmlformats.org/officeDocument/2006/relationships/hyperlink" Target="PROCESO%20ATENCI&#211;N%20EN%20URGENCIAS\INFORME%20ATENCION%20EN%20URGENCIAS%202019%20-%2015082019.pdf" TargetMode="External"/><Relationship Id="rId42" Type="http://schemas.openxmlformats.org/officeDocument/2006/relationships/hyperlink" Target="PROCESO%20GESTI&#211;N%20JUR&#205;DICA\INFORME%20GESTION%20JURIDICA%202021%20-%2006042021.pdf" TargetMode="External"/><Relationship Id="rId47" Type="http://schemas.openxmlformats.org/officeDocument/2006/relationships/hyperlink" Target="PROCESO%20GESTI&#211;N%20LOG&#205;STICA\INFORME%20MANTENIMIENTO%20DE%20BIENES%20-%20EQUIPOS%20BIOMEDICOS%202021%20-%2021102021.pdf" TargetMode="External"/><Relationship Id="rId63" Type="http://schemas.openxmlformats.org/officeDocument/2006/relationships/hyperlink" Target="PROCESO%20GESTI&#211;N%20LOG&#205;STICA\INFORME%20ASEGURAMIENTO%20DE%20BIENES%20MUEBLES%202022%20-%2010082022.pdf" TargetMode="External"/><Relationship Id="rId68" Type="http://schemas.openxmlformats.org/officeDocument/2006/relationships/hyperlink" Target="PROCESO%20GESTI&#211;N%20DE%20LA%20CONTRATACI&#211;N\INFORME%20CONTRATACION%20ADQUISICI&#211;N%20DE%20SERVICIOS%202021%20-%2006092021.pdf" TargetMode="External"/><Relationship Id="rId84" Type="http://schemas.openxmlformats.org/officeDocument/2006/relationships/printerSettings" Target="../printerSettings/printerSettings2.bin"/><Relationship Id="rId16" Type="http://schemas.openxmlformats.org/officeDocument/2006/relationships/hyperlink" Target="PROCESO%20GESTI&#211;N%20VENTA%20DE%20SERVICIOS\INFORME%20GESTI&#211;N%20VENTA%20DE%20SERVICIOS%202020%20-%2020102020.pdf" TargetMode="External"/><Relationship Id="rId11" Type="http://schemas.openxmlformats.org/officeDocument/2006/relationships/hyperlink" Target="PROCESO%20GESTI&#211;N%20FINANCIERA\INFORME%20CUADRE%20DE%20CAJA%202023-2%20-%2019072023.pdf" TargetMode="External"/><Relationship Id="rId32" Type="http://schemas.openxmlformats.org/officeDocument/2006/relationships/hyperlink" Target="PROCESO%20ATENCI&#211;N%20EN%20IM&#193;GENES%20DIAGN&#211;STICAS\INFORME%20ATENCI&#211;N%20EN%20IM&#193;GENES%20DIAGN&#211;ST%202020%20-%2016072020.pdf" TargetMode="External"/><Relationship Id="rId37" Type="http://schemas.openxmlformats.org/officeDocument/2006/relationships/hyperlink" Target="PROCESO%20ATENCI&#211;N%20QUIR&#218;RGICA\INFORME%20ATENCION%20QUIRURGICA%202020%20-%2029102020.pdf" TargetMode="External"/><Relationship Id="rId53" Type="http://schemas.openxmlformats.org/officeDocument/2006/relationships/hyperlink" Target="PROCESO%20GESTI&#211;N%20SERVICIO%20FARMAC&#201;UTICO\INFORME%20GESTION%20MEDICAMENTOS%20CONTROL%20ESPECIAL%202022%20-%2025112022.pdf" TargetMode="External"/><Relationship Id="rId58" Type="http://schemas.openxmlformats.org/officeDocument/2006/relationships/hyperlink" Target="SIN%20PROCESO%20-%20REFERENCIA%20Y%20CONTRARREFERENCIA\INFORME%20REFERENCIA%20Y%20CONTRARREFERENCIA%202023%20-%2016082023.pdf" TargetMode="External"/><Relationship Id="rId74" Type="http://schemas.openxmlformats.org/officeDocument/2006/relationships/hyperlink" Target="PROCESO%20GESTI&#211;N%20VENTA%20DE%20SERVICIOS\INFORME%20SUPERVISI&#211;N%20CONTRATOS%20VIGENCIA%202022%20-%2017032022.pdf" TargetMode="External"/><Relationship Id="rId79" Type="http://schemas.openxmlformats.org/officeDocument/2006/relationships/hyperlink" Target="PROCESO%20GESTI&#211;N%20SISTEMA%20DE%20INFORMACI&#211;N\INFORME%20SEGURIDAD%20DE%20LA%20INFORMACI&#211;N%202023%20-%2023112023.pdf" TargetMode="External"/><Relationship Id="rId5" Type="http://schemas.openxmlformats.org/officeDocument/2006/relationships/hyperlink" Target="PROCESO%20GESTI&#211;N%20FINANCIERA\INFORME%20CUADRE%20DE%20CAJA%202021-2%20-%2029102021.pdf" TargetMode="External"/><Relationship Id="rId61" Type="http://schemas.openxmlformats.org/officeDocument/2006/relationships/hyperlink" Target="PROCESO%20GESTI&#211;N%20LOG&#205;STICA\INFORME%20INSTRUCTIVO%20LEGALIZACI&#211;N%20DE%20DONACIONES%202022%20-%2016062022%20.pdf" TargetMode="External"/><Relationship Id="rId82" Type="http://schemas.openxmlformats.org/officeDocument/2006/relationships/hyperlink" Target="PROCESO%20GESTI&#211;N%20FINANCIERA\INFORME%20CUADRE%20DE%20CAJA%202023-3%20-%2027122023.pdf" TargetMode="External"/><Relationship Id="rId19" Type="http://schemas.openxmlformats.org/officeDocument/2006/relationships/hyperlink" Target="PROCESO%20GESTI&#211;N%20JUR&#205;DICA\INFORME%20GESTI&#211;N%20JUR&#205;DICA%202019%20-%2022112019.pdf" TargetMode="External"/><Relationship Id="rId14" Type="http://schemas.openxmlformats.org/officeDocument/2006/relationships/hyperlink" Target="PROCESO%20GESTI&#211;N%20FINANCIERA\INFORME%20GESTI&#211;N%20FINANCIERA%202021%20-%2009022022.pdf" TargetMode="External"/><Relationship Id="rId22" Type="http://schemas.openxmlformats.org/officeDocument/2006/relationships/hyperlink" Target="PROCESO%20ATENCI&#211;N%20EN%20HOSPITALIZACI&#211;N\INFORME%20ATENCI&#211;N%20EN%20HOSPITALIZACI&#211;N%202019%20-%2019092019.pdf" TargetMode="External"/><Relationship Id="rId27" Type="http://schemas.openxmlformats.org/officeDocument/2006/relationships/hyperlink" Target="PROCESO%20GESTI&#211;N%20LOG&#205;STICA\INFORME%20CONTROL%20DE%20INVENTARIO%202019%20-%2012122019.pdf" TargetMode="External"/><Relationship Id="rId30" Type="http://schemas.openxmlformats.org/officeDocument/2006/relationships/hyperlink" Target="PROCESO%20ATENCI&#211;N%20EN%20URGENCIAS\INFORME%20ATENCION%20EN%20URGENCIAS%202020%20-%2006042020.pdf" TargetMode="External"/><Relationship Id="rId35" Type="http://schemas.openxmlformats.org/officeDocument/2006/relationships/hyperlink" Target="PROCESO%20ATENCI&#211;N%20EN%20P%20Y%20P\INFORME%20ATENCI&#211;N%20EN%20PROMOCI&#211;N%20Y%20PREVENCI&#211;N%202020%20-%2024092020.pdf" TargetMode="External"/><Relationship Id="rId43" Type="http://schemas.openxmlformats.org/officeDocument/2006/relationships/hyperlink" Target="PROCESO%20GESTI&#211;N%20LOG&#205;STICA\INFORME%20CONTROL%20DE%20INVENTARIO%20-%20LEGALIZACI&#211;N%20DONACIONES%202021%20-%2026052021.pdf" TargetMode="External"/><Relationship Id="rId48" Type="http://schemas.openxmlformats.org/officeDocument/2006/relationships/hyperlink" Target="SIN%20PROCESO%20-%20REFERENCIA%20Y%20CONTRARREFERENCIA\INFORME%20REFERENCIA%20Y%20CONTRARREFERENCIA%202021%20-%2003112021%20.pdf" TargetMode="External"/><Relationship Id="rId56" Type="http://schemas.openxmlformats.org/officeDocument/2006/relationships/hyperlink" Target="PROCESO%20GESTI&#211;N%20FINANCIERA\INFORME%20GESTI&#211;N%20FINANCIERA%20TESORERIA%202023%20-%2003052023.pdf" TargetMode="External"/><Relationship Id="rId64" Type="http://schemas.openxmlformats.org/officeDocument/2006/relationships/hyperlink" Target="SIN%20PROCESO%20-%20AUDITOR&#205;AS%20INTEGRALES\INFORME%20AUDITOR&#205;A%20INTEGRAL%20UPSS%203%202023%20-%20NUEVO%20OCCIDENTE%2030102023.pdf" TargetMode="External"/><Relationship Id="rId69" Type="http://schemas.openxmlformats.org/officeDocument/2006/relationships/hyperlink" Target="PROCESO%20GESTI&#211;N%20SALUD%20P&#218;BLICA%20Y%20TERRITORIAL\INFORME%20LIQUIDACI&#211;N%20CONVENIOS%20INTERADMINISTRATIVOS%202021%20-%2029122021.pdf" TargetMode="External"/><Relationship Id="rId77" Type="http://schemas.openxmlformats.org/officeDocument/2006/relationships/hyperlink" Target="PROCESO%20DIRECCIONAMIENTO%20Y%20PLANEACI&#211;N\INFORME%20TABLERO%20DE%20INDICADORES%20PLAN%20DE%20DESARROLLO%202023%20-%2010032023.pdf" TargetMode="External"/><Relationship Id="rId8" Type="http://schemas.openxmlformats.org/officeDocument/2006/relationships/hyperlink" Target="PROCESO%20GESTI&#211;N%20FINANCIERA\INFORME%20CUADRE%20DE%20CAJA%202022-2%20-%2003112022.pdf" TargetMode="External"/><Relationship Id="rId51" Type="http://schemas.openxmlformats.org/officeDocument/2006/relationships/hyperlink" Target="PROCESO%20GESTI&#211;N%20TALENTO%20HUMANO\INFORME%20GESTI&#211;N%20TALENTO%20HUMANO%202021%20-%2009112021.pdf" TargetMode="External"/><Relationship Id="rId72" Type="http://schemas.openxmlformats.org/officeDocument/2006/relationships/hyperlink" Target="PROCESO%20GESTI&#211;N%20VENTA%20DE%20SERVICIOS\INFORME%20EVALUACI&#211;N%20SUPERVISI&#211;N%20CONTRATOS%202020%20-%2020102020.pdf" TargetMode="External"/><Relationship Id="rId80" Type="http://schemas.openxmlformats.org/officeDocument/2006/relationships/hyperlink" Target="SIN%20PROCESO%20-%20COMUNICACI&#211;N%20ORGANIZACIONAL\INFORME%20COMPONENTE%20COMUNICACI&#211;N%20ORGANIZACIONAL%202022%20-%2006102022.pdf" TargetMode="External"/><Relationship Id="rId3" Type="http://schemas.openxmlformats.org/officeDocument/2006/relationships/hyperlink" Target="PROCESO%20GESTI&#211;N%20FINANCIERA\INFORME%20GESTI&#211;N%20FINANCIERA%202020%20-%2022122020.pdf" TargetMode="External"/><Relationship Id="rId12" Type="http://schemas.openxmlformats.org/officeDocument/2006/relationships/hyperlink" Target="PROCESO%20GESTI&#211;N%20FINANCIERA\INFORME%20CAJAS%20MENORES%202023%20-%2012072023.pdf" TargetMode="External"/><Relationship Id="rId17" Type="http://schemas.openxmlformats.org/officeDocument/2006/relationships/hyperlink" Target="PROCESO%20GESTI&#211;N%20VENTA%20DE%20SERVICIOS\INFORME%20GESTI&#211;N%20VENTA%20DE%20SERVICIOS%202023%20-%2028032023.pdf" TargetMode="External"/><Relationship Id="rId25" Type="http://schemas.openxmlformats.org/officeDocument/2006/relationships/hyperlink" Target="PROCESO%20ATENCI&#211;N%20AMBULATORIA\INFORME%20ATENCI&#211;N%20AMBULATORIA%202019%20-%2019122019.pdf" TargetMode="External"/><Relationship Id="rId33" Type="http://schemas.openxmlformats.org/officeDocument/2006/relationships/hyperlink" Target="PROCESO%20ATENCI&#211;N%20EN%20HOSPITALIZACI&#211;N\INFORME%20CONSENTIMIENTO%20INFORMADO%202020%20-%2007092020.pdf" TargetMode="External"/><Relationship Id="rId38" Type="http://schemas.openxmlformats.org/officeDocument/2006/relationships/hyperlink" Target="PROCESO%20GESTI&#211;N%20TALENTO%20HUMANO\INFORME%20GESTI&#211;N%20TALENTO%20HUMANO%20PROGRAMA%20DE%20VIVIENDA%202020%20-%2011092020.pdf" TargetMode="External"/><Relationship Id="rId46" Type="http://schemas.openxmlformats.org/officeDocument/2006/relationships/hyperlink" Target="PROCESO%20GESTI&#211;N%20LOG&#205;STICA\INFORME%20SEGURIDAD%20HOSPITALARIA%20SERVICIOS%20DE%20URGENCIAS%202021%20-%2003082021.pdf" TargetMode="External"/><Relationship Id="rId59" Type="http://schemas.openxmlformats.org/officeDocument/2006/relationships/hyperlink" Target="PROCESO%20GESTI&#211;N%20TALENTO%20HUMANO\INFORME%20GESTI&#211;N%20TALENTO%20HUMANO%202023%20-%2009102023.pdf" TargetMode="External"/><Relationship Id="rId67" Type="http://schemas.openxmlformats.org/officeDocument/2006/relationships/hyperlink" Target="PROCESO%20GESTI&#211;N%20DE%20LA%20CONTRATACI&#211;N\INFORME%20CONTRATACION%20BIENES%20Y%20SERVICIOS%202023-3%20-%2009112023.pdf" TargetMode="External"/><Relationship Id="rId20" Type="http://schemas.openxmlformats.org/officeDocument/2006/relationships/hyperlink" Target="PROCESO%20ATENCI&#211;N%20QUIR&#218;RGICA\INFORME%20ATENCION%20QUIRURGICA%202019%20-%2028052019%20.pdf" TargetMode="External"/><Relationship Id="rId41" Type="http://schemas.openxmlformats.org/officeDocument/2006/relationships/hyperlink" Target="PROCESO%20GESTI&#211;N%20TALENTO%20HUMANO\INFORME%20GESTI&#211;N%20CUADRO%20DE%20TURNOS%202021%20-%2012032021.pdf" TargetMode="External"/><Relationship Id="rId54" Type="http://schemas.openxmlformats.org/officeDocument/2006/relationships/hyperlink" Target="PROCESO%20GESTI&#211;N%20SERVICIO%20FARMAC&#201;UTICO\INFORME%20GESTI&#211;N%20SERVICIO%20FARMAC&#201;UTICO%202023%20-%2007032023.pdf" TargetMode="External"/><Relationship Id="rId62" Type="http://schemas.openxmlformats.org/officeDocument/2006/relationships/hyperlink" Target="PROCESO%20GESTI&#211;N%20LOG&#205;STICA\INFORME%20GESTI&#211;N%20DE%20BIENES%20MUEBLES%202022-%2003062022.pdf" TargetMode="External"/><Relationship Id="rId70" Type="http://schemas.openxmlformats.org/officeDocument/2006/relationships/hyperlink" Target="PROCESO%20GESTI&#211;N%20SALUD%20P&#218;BLICA%20Y%20TERRITORIAL\INFORME%20CONDICIONES%20ALMACENAMIENTO%20PROYECTOS%20SALUD%20P&#218;BLICA%202022%20-%2016032022.pdf" TargetMode="External"/><Relationship Id="rId75" Type="http://schemas.openxmlformats.org/officeDocument/2006/relationships/hyperlink" Target="PROCESO%20GESTI&#211;N%20FINANCIERA\INFORME%20GESTI&#211;N%20FINANCIERA%20PRESUPUESTO%202023%20-%2026102023.pdf" TargetMode="External"/><Relationship Id="rId83" Type="http://schemas.openxmlformats.org/officeDocument/2006/relationships/hyperlink" Target="PROCESO%20GESTI&#211;N%20DE%20LA%20CONTRATACI&#211;N\INFORME%20CONTRATACION%20BIENES%20Y%20SERVICIOS%202023-4%20-%2019122023.pdf" TargetMode="External"/><Relationship Id="rId1" Type="http://schemas.openxmlformats.org/officeDocument/2006/relationships/hyperlink" Target="PROCESO%20GESTI&#211;N%20FINANCIERA\INFORME%20GESTI&#211;N%20FINANCIERA%202019%20-%2011122019.pdf" TargetMode="External"/><Relationship Id="rId6" Type="http://schemas.openxmlformats.org/officeDocument/2006/relationships/hyperlink" Target="PROCESO%20GESTI&#211;N%20FINANCIERA\INFORME%20FACTURACI&#211;N,%20CARTERA,%20GLOSAS%202021%20-%2030062021.pdf" TargetMode="External"/><Relationship Id="rId15" Type="http://schemas.openxmlformats.org/officeDocument/2006/relationships/hyperlink" Target="PROCESO%20GESTI&#211;N%20VENTA%20DE%20SERVICIOS\INFORME%20GESTI&#211;N%20VENTA%20DE%20SERVICIOS%202019%20-%2005082019.pdf" TargetMode="External"/><Relationship Id="rId23" Type="http://schemas.openxmlformats.org/officeDocument/2006/relationships/hyperlink" Target="PROCESO%20GESTI&#211;N%20SERVICIO%20FARMAC&#201;UTICO\INFORME%20GESTI&#211;N%20SERVICIO%20FARMAC&#201;UTICO%202019%20-%2024102019.pdf" TargetMode="External"/><Relationship Id="rId28" Type="http://schemas.openxmlformats.org/officeDocument/2006/relationships/hyperlink" Target="PROCESO%20GESTI&#211;N%20DOCUMENTAL\INFORME%20MANEJO%20DE%20ARCHIVO%20CL&#205;NICO%202021%20-%2017092021.pdf" TargetMode="External"/><Relationship Id="rId36" Type="http://schemas.openxmlformats.org/officeDocument/2006/relationships/hyperlink" Target="PROCESO%20GESTI&#211;N%20SERVICIO%20FARMAC&#201;UTICO\INFORME%20GESTI&#211;N%20SERVICIO%20FARMAC&#201;UTICO%202020%20-%2020102020.pdf" TargetMode="External"/><Relationship Id="rId49" Type="http://schemas.openxmlformats.org/officeDocument/2006/relationships/hyperlink" Target="PROCESO%20ATENCI&#211;N%20EN%20HOSPITALIZACI&#211;N\INFORME%20GESTI&#211;N%20DE%20CAMAS%202021%20-%2005102021.pdf" TargetMode="External"/><Relationship Id="rId57" Type="http://schemas.openxmlformats.org/officeDocument/2006/relationships/hyperlink" Target="SIN%20PROCESO%20-%20AUDITOR&#205;AS%20INTEGRALES\INFORME%20AUDITOR&#205;A%20INTEGRAL%20UPSS%202%202023-%2018072023.pdf" TargetMode="External"/><Relationship Id="rId10" Type="http://schemas.openxmlformats.org/officeDocument/2006/relationships/hyperlink" Target="PROCESO%20GESTI&#211;N%20FINANCIERA\INFORME%20CUADRE%20DE%20CAJA%202023-1%20-%2027022023.pdf" TargetMode="External"/><Relationship Id="rId31" Type="http://schemas.openxmlformats.org/officeDocument/2006/relationships/hyperlink" Target="PROCESO%20GESTI&#211;N%20TALENTO%20HUMANO\INFORME%20PAGO%20DE%20N&#211;MINA%20CONDUCTORES%20AMBULANCIA%202020%20-%2027072020.pdf" TargetMode="External"/><Relationship Id="rId44" Type="http://schemas.openxmlformats.org/officeDocument/2006/relationships/hyperlink" Target="PROCESO%20ATENCI&#211;N%20EN%20HOSPITALIZACI&#211;N\INFORME%20ATENCI&#211;N%20EN%20HOSPITALIZACI&#211;N%202021%20-%2012082021.pdf" TargetMode="External"/><Relationship Id="rId52" Type="http://schemas.openxmlformats.org/officeDocument/2006/relationships/hyperlink" Target="PROCESO%20GESTI&#211;N%20LOG&#205;STICA\INFORME%20MANTENIMIENTO%20DE%20BIENES%20-%20EQUIPOS%20BIOM&#201;DICOS%202022%20-%2028032022.pdf" TargetMode="External"/><Relationship Id="rId60" Type="http://schemas.openxmlformats.org/officeDocument/2006/relationships/hyperlink" Target="PROCESO%20GESTI&#211;N%20LOG&#205;STICA\INFORME%20CONTRATO%20INTERMEDIACI&#211;N%20DE%20SEGUROS%202020%20-%2002072020.pdf" TargetMode="External"/><Relationship Id="rId65" Type="http://schemas.openxmlformats.org/officeDocument/2006/relationships/hyperlink" Target="PROCESO%20GESTI&#211;N%20DE%20LA%20CONTRATACI&#211;N\INFORME%20CONTRATACION%20BIENES%20Y%20SERVICIOS%202023-1%20-%2020062023.pdf" TargetMode="External"/><Relationship Id="rId73" Type="http://schemas.openxmlformats.org/officeDocument/2006/relationships/hyperlink" Target="PROCESO%20GESTI&#211;N%20VENTA%20DE%20SERVICIOS\INFORME%20CONTRATACI&#211;N%20PRESTACI&#211;N%20DE%20SERVICIOS%202021%20-%2018052021.pdf" TargetMode="External"/><Relationship Id="rId78" Type="http://schemas.openxmlformats.org/officeDocument/2006/relationships/hyperlink" Target="PROCESO%20DESARROLLO%20DEL%20SISTEMA%20DE%20GESTI&#211;N\INFORME%20DESARROLLO%20SISTEMA%20DE%20GESTI&#211;N%202021%20-%2004062021.pdf" TargetMode="External"/><Relationship Id="rId81" Type="http://schemas.openxmlformats.org/officeDocument/2006/relationships/hyperlink" Target="PROCESO%20GESTI&#211;N%20LOG&#205;STICA\INFORME%20CONTROL%20DE%20INVENTARIO%20BIENES%20MUEBLES%202023%20-10112023.pdf" TargetMode="External"/><Relationship Id="rId4" Type="http://schemas.openxmlformats.org/officeDocument/2006/relationships/hyperlink" Target="PROCESO%20GESTI&#211;N%20FINANCIERA\INFORME%20CUADRE%20DE%20CAJA%202021-1%20-%2011062021.pdf" TargetMode="External"/><Relationship Id="rId9" Type="http://schemas.openxmlformats.org/officeDocument/2006/relationships/hyperlink" Target="PROCESO%20GESTI&#211;N%20FINANCIERA\INFORME%20CAJAS%20MENORES%202022-%2020092022.pdf" TargetMode="External"/><Relationship Id="rId13" Type="http://schemas.openxmlformats.org/officeDocument/2006/relationships/hyperlink" Target="PROCESO%20GESTI&#211;N%20FINANCIERA\INFORME%20FACTURACI&#211;N,%20CARTERA,%20GLOSAS%202023%20-%2029082023.pdf" TargetMode="External"/><Relationship Id="rId18" Type="http://schemas.openxmlformats.org/officeDocument/2006/relationships/hyperlink" Target="PROCESO%20GESTI&#211;N%20DOCUMENTAL\INFORME%20GESTI&#211;N%20DOCUMENTAL%202019%20-%2012122019.pdf" TargetMode="External"/><Relationship Id="rId39" Type="http://schemas.openxmlformats.org/officeDocument/2006/relationships/hyperlink" Target="PROCESO%20GESTI&#211;N%20DOCENCIA%20SERVICIO\INFORME%20GESTI&#211;N%20DOCENCIA%20SERVICIO%202020%20-%2030112020.pdf" TargetMode="External"/><Relationship Id="rId34" Type="http://schemas.openxmlformats.org/officeDocument/2006/relationships/hyperlink" Target="PROCESO%20ATENCI&#211;N%20EN%20LABORATORIO%20CL&#205;NICO\INFORME%20ATENCI&#211;N%20EN%20LABORATORIO%20CL&#205;NICO%202020%20-%2006112020.pdf" TargetMode="External"/><Relationship Id="rId50" Type="http://schemas.openxmlformats.org/officeDocument/2006/relationships/hyperlink" Target="PROCESO%20GESTI&#211;N%20LOG&#205;STICA\INFORME%20CONTROL%20DE%20INVENTARIO%202021%20-%2030102021.pdf" TargetMode="External"/><Relationship Id="rId55" Type="http://schemas.openxmlformats.org/officeDocument/2006/relationships/hyperlink" Target="SIN%20PROCESO%20-%20AUDITOR&#205;AS%20INTEGRALES\INFORME%20AUDITORIA%20INTEGRAL%20UPSS%201%20SEGUIMIENTO%20PLAN%20SUPERSALUD%202023%20-%2025042023%20ANEXO.pdf" TargetMode="External"/><Relationship Id="rId76" Type="http://schemas.openxmlformats.org/officeDocument/2006/relationships/hyperlink" Target="PROCESO%20DIRECCIONAMIENTO%20Y%20PLANEACI&#211;N\INFORME%20PAMEC%202022%20-%2024052022.pdf" TargetMode="External"/><Relationship Id="rId7" Type="http://schemas.openxmlformats.org/officeDocument/2006/relationships/hyperlink" Target="PROCESO%20GESTI&#211;N%20FINANCIERA\INFORME%20CUADRE%20DE%20CAJA%202022-1%20-%2025012022.pdf" TargetMode="External"/><Relationship Id="rId71" Type="http://schemas.openxmlformats.org/officeDocument/2006/relationships/hyperlink" Target="PROCESO%20GESTI&#211;N%20SALUD%20P&#218;BLICA%20Y%20TERRITORIAL\INFORME%20PROYECTOS%20SALUD%20PUBLICA%20-%20MAITE%202022%20-%2006102022.pdf" TargetMode="External"/><Relationship Id="rId2" Type="http://schemas.openxmlformats.org/officeDocument/2006/relationships/hyperlink" Target="PROCESO%20GESTI&#211;N%20FINANCIERA\INFORME%20CAJAS%20MENORES%202019%20-%2020022019.pdf" TargetMode="External"/><Relationship Id="rId29" Type="http://schemas.openxmlformats.org/officeDocument/2006/relationships/hyperlink" Target="PROCESO%20GESTI&#211;N%20LOG&#205;STICA\INFORME%20CONTROL%20DE%20INVENTARIO%20DE%20BIENES%202020%20-%2020052020.pdf" TargetMode="External"/><Relationship Id="rId24" Type="http://schemas.openxmlformats.org/officeDocument/2006/relationships/hyperlink" Target="PROCESO%20ATENCI&#211;N%20EN%20LABORATORIO%20CL&#205;NICO\INFORME%20ATENCI&#211;N%20EN%20LABORATORIO%20CL&#205;NICO%202019%20-%2002122019.pdf" TargetMode="External"/><Relationship Id="rId40" Type="http://schemas.openxmlformats.org/officeDocument/2006/relationships/hyperlink" Target="PROCESO%20ATENCI&#211;N%20EN%20HOSPITALIZACI&#211;N\INFORME%20ATENCI&#211;N%20EN%20HOSPITALIZACI&#211;N%202020%20-%2026112020.pdf" TargetMode="External"/><Relationship Id="rId45" Type="http://schemas.openxmlformats.org/officeDocument/2006/relationships/hyperlink" Target="PROCESO%20ATENCI&#211;N%20EN%20P%20Y%20P\INFORME%20CICLO%20DE%20ATENCI&#211;N%20MATERNO%20PERINATAL%202021%20-%2006092021.pdf" TargetMode="External"/><Relationship Id="rId66" Type="http://schemas.openxmlformats.org/officeDocument/2006/relationships/hyperlink" Target="PROCESO%20GESTI&#211;N%20DE%20LA%20CONTRATACI&#211;N\INFORME%20CONTRATACION%20BIENES%20Y%20SERVICIOS%202023-2%20-%2005072023.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PROCESO%20ATENCI&#211;N%20EN%20P%20Y%20P\INFORME%20ATENCI&#211;N%20EN%20PROMOCI&#211;N%20Y%20PREVENCI&#211;N%202019%20-%2019122019.pdf" TargetMode="External"/><Relationship Id="rId21" Type="http://schemas.openxmlformats.org/officeDocument/2006/relationships/hyperlink" Target="PROCESO%20ATENCI&#211;N%20EN%20URGENCIAS\INFORME%20ATENCION%20EN%20URGENCIAS%202019%20-%2015082019.pdf" TargetMode="External"/><Relationship Id="rId42" Type="http://schemas.openxmlformats.org/officeDocument/2006/relationships/hyperlink" Target="PROCESO%20GESTI&#211;N%20JUR&#205;DICA\INFORME%20GESTION%20JURIDICA%202021%20-%2006042021.pdf" TargetMode="External"/><Relationship Id="rId47" Type="http://schemas.openxmlformats.org/officeDocument/2006/relationships/hyperlink" Target="PROCESO%20GESTI&#211;N%20LOG&#205;STICA\INFORME%20MANTENIMIENTO%20DE%20BIENES%20-%20EQUIPOS%20BIOMEDICOS%202021%20-%2021102021.pdf" TargetMode="External"/><Relationship Id="rId63" Type="http://schemas.openxmlformats.org/officeDocument/2006/relationships/hyperlink" Target="PROCESO%20GESTI&#211;N%20LOG&#205;STICA\INFORME%20ASEGURAMIENTO%20DE%20BIENES%20MUEBLES%202022%20-%2010082022.pdf" TargetMode="External"/><Relationship Id="rId68" Type="http://schemas.openxmlformats.org/officeDocument/2006/relationships/hyperlink" Target="PROCESO%20GESTI&#211;N%20DE%20LA%20CONTRATACI&#211;N\INFORME%20CONTRATACION%20ADQUISICI&#211;N%20DE%20SERVICIOS%202021%20-%2006092021.pdf" TargetMode="External"/><Relationship Id="rId84" Type="http://schemas.openxmlformats.org/officeDocument/2006/relationships/hyperlink" Target="PROCESO%20GESTI&#211;N%20SALUD%20P&#218;BLICA%20Y%20TERRITORIAL\INFORME%20GESTI&#211;N%20SALUD%20P&#218;BLICA%20Y%20TERRITORIAL%202023%20-%2010012024.pdf" TargetMode="External"/><Relationship Id="rId16" Type="http://schemas.openxmlformats.org/officeDocument/2006/relationships/hyperlink" Target="PROCESO%20GESTI&#211;N%20VENTA%20DE%20SERVICIOS\INFORME%20GESTI&#211;N%20VENTA%20DE%20SERVICIOS%202020%20-%2020102020.pdf" TargetMode="External"/><Relationship Id="rId11" Type="http://schemas.openxmlformats.org/officeDocument/2006/relationships/hyperlink" Target="PROCESO%20GESTI&#211;N%20FINANCIERA\INFORME%20CUADRE%20DE%20CAJA%202023-2%20-%2019072023.pdf" TargetMode="External"/><Relationship Id="rId32" Type="http://schemas.openxmlformats.org/officeDocument/2006/relationships/hyperlink" Target="PROCESO%20ATENCI&#211;N%20EN%20IM&#193;GENES%20DIAGN&#211;STICAS\INFORME%20ATENCI&#211;N%20EN%20IM&#193;GENES%20DIAGN&#211;ST%202020%20-%2016072020.pdf" TargetMode="External"/><Relationship Id="rId37" Type="http://schemas.openxmlformats.org/officeDocument/2006/relationships/hyperlink" Target="PROCESO%20ATENCI&#211;N%20QUIR&#218;RGICA\INFORME%20ATENCION%20QUIRURGICA%202020%20-%2029102020.pdf" TargetMode="External"/><Relationship Id="rId53" Type="http://schemas.openxmlformats.org/officeDocument/2006/relationships/hyperlink" Target="PROCESO%20GESTI&#211;N%20SERVICIO%20FARMAC&#201;UTICO\INFORME%20GESTION%20MEDICAMENTOS%20CONTROL%20ESPECIAL%202022%20-%2025112022.pdf" TargetMode="External"/><Relationship Id="rId58" Type="http://schemas.openxmlformats.org/officeDocument/2006/relationships/hyperlink" Target="SIN%20PROCESO%20-%20REFERENCIA%20Y%20CONTRARREFERENCIA\INFORME%20REFERENCIA%20Y%20CONTRARREFERENCIA%202023%20-%2016082023.pdf" TargetMode="External"/><Relationship Id="rId74" Type="http://schemas.openxmlformats.org/officeDocument/2006/relationships/hyperlink" Target="PROCESO%20GESTI&#211;N%20VENTA%20DE%20SERVICIOS\INFORME%20SUPERVISI&#211;N%20CONTRATOS%20VIGENCIA%202022%20-%2017032022.pdf" TargetMode="External"/><Relationship Id="rId79" Type="http://schemas.openxmlformats.org/officeDocument/2006/relationships/hyperlink" Target="PROCESO%20GESTI&#211;N%20SISTEMA%20DE%20INFORMACI&#211;N\INFORME%20SEGURIDAD%20DE%20LA%20INFORMACI&#211;N%202023%20-%2023112023.pdf" TargetMode="External"/><Relationship Id="rId5" Type="http://schemas.openxmlformats.org/officeDocument/2006/relationships/hyperlink" Target="PROCESO%20GESTI&#211;N%20FINANCIERA\INFORME%20CUADRE%20DE%20CAJA%202021-2%20-%2029102021.pdf" TargetMode="External"/><Relationship Id="rId19" Type="http://schemas.openxmlformats.org/officeDocument/2006/relationships/hyperlink" Target="PROCESO%20GESTI&#211;N%20JUR&#205;DICA\INFORME%20GESTI&#211;N%20JUR&#205;DICA%202019%20-%2022112019.pdf" TargetMode="External"/><Relationship Id="rId14" Type="http://schemas.openxmlformats.org/officeDocument/2006/relationships/hyperlink" Target="PROCESO%20GESTI&#211;N%20FINANCIERA\INFORME%20GESTI&#211;N%20FINANCIERA%202021%20-%2009022022.pdf" TargetMode="External"/><Relationship Id="rId22" Type="http://schemas.openxmlformats.org/officeDocument/2006/relationships/hyperlink" Target="PROCESO%20ATENCI&#211;N%20EN%20HOSPITALIZACI&#211;N\INFORME%20ATENCI&#211;N%20EN%20HOSPITALIZACI&#211;N%202019%20-%2019092019.pdf" TargetMode="External"/><Relationship Id="rId27" Type="http://schemas.openxmlformats.org/officeDocument/2006/relationships/hyperlink" Target="PROCESO%20GESTI&#211;N%20LOG&#205;STICA\INFORME%20CONTROL%20DE%20INVENTARIO%202019%20-%2012122019.pdf" TargetMode="External"/><Relationship Id="rId30" Type="http://schemas.openxmlformats.org/officeDocument/2006/relationships/hyperlink" Target="PROCESO%20ATENCI&#211;N%20EN%20URGENCIAS\INFORME%20ATENCION%20EN%20URGENCIAS%202020%20-%2006042020.pdf" TargetMode="External"/><Relationship Id="rId35" Type="http://schemas.openxmlformats.org/officeDocument/2006/relationships/hyperlink" Target="PROCESO%20ATENCI&#211;N%20EN%20P%20Y%20P\INFORME%20ATENCI&#211;N%20EN%20PROMOCI&#211;N%20Y%20PREVENCI&#211;N%202020%20-%2024092020.pdf" TargetMode="External"/><Relationship Id="rId43" Type="http://schemas.openxmlformats.org/officeDocument/2006/relationships/hyperlink" Target="PROCESO%20GESTI&#211;N%20LOG&#205;STICA\INFORME%20CONTROL%20DE%20INVENTARIO%20-%20LEGALIZACI&#211;N%20DONACIONES%202021%20-%2026052021.pdf" TargetMode="External"/><Relationship Id="rId48" Type="http://schemas.openxmlformats.org/officeDocument/2006/relationships/hyperlink" Target="SIN%20PROCESO%20-%20REFERENCIA%20Y%20CONTRARREFERENCIA\INFORME%20REFERENCIA%20Y%20CONTRARREFERENCIA%202021%20-%2003112021%20.pdf" TargetMode="External"/><Relationship Id="rId56" Type="http://schemas.openxmlformats.org/officeDocument/2006/relationships/hyperlink" Target="PROCESO%20GESTI&#211;N%20FINANCIERA\INFORME%20GESTI&#211;N%20FINANCIERA%20TESORERIA%202023%20-%2003052023.pdf" TargetMode="External"/><Relationship Id="rId64" Type="http://schemas.openxmlformats.org/officeDocument/2006/relationships/hyperlink" Target="SIN%20PROCESO%20-%20AUDITOR&#205;AS%20INTEGRALES\INFORME%20AUDITOR&#205;A%20INTEGRAL%20UPSS%203%202023%20-%20NUEVO%20OCCIDENTE%2030102023.pdf" TargetMode="External"/><Relationship Id="rId69" Type="http://schemas.openxmlformats.org/officeDocument/2006/relationships/hyperlink" Target="PROCESO%20GESTI&#211;N%20SALUD%20P&#218;BLICA%20Y%20TERRITORIAL\INFORME%20LIQUIDACI&#211;N%20CONVENIOS%20INTERADMINISTRATIVOS%202021%20-%2029122021.pdf" TargetMode="External"/><Relationship Id="rId77" Type="http://schemas.openxmlformats.org/officeDocument/2006/relationships/hyperlink" Target="PROCESO%20DIRECCIONAMIENTO%20Y%20PLANEACI&#211;N\INFORME%20TABLERO%20DE%20INDICADORES%20PLAN%20DE%20DESARROLLO%202023%20-%2010032023.pdf" TargetMode="External"/><Relationship Id="rId8" Type="http://schemas.openxmlformats.org/officeDocument/2006/relationships/hyperlink" Target="PROCESO%20GESTI&#211;N%20FINANCIERA\INFORME%20CUADRE%20DE%20CAJA%202022-2%20-%2003112022.pdf" TargetMode="External"/><Relationship Id="rId51" Type="http://schemas.openxmlformats.org/officeDocument/2006/relationships/hyperlink" Target="PROCESO%20GESTI&#211;N%20TALENTO%20HUMANO\INFORME%20GESTI&#211;N%20TALENTO%20HUMANO%202021%20-%2009112021.pdf" TargetMode="External"/><Relationship Id="rId72" Type="http://schemas.openxmlformats.org/officeDocument/2006/relationships/hyperlink" Target="PROCESO%20GESTI&#211;N%20VENTA%20DE%20SERVICIOS\INFORME%20EVALUACI&#211;N%20SUPERVISI&#211;N%20CONTRATOS%202020%20-%2020102020.pdf" TargetMode="External"/><Relationship Id="rId80" Type="http://schemas.openxmlformats.org/officeDocument/2006/relationships/hyperlink" Target="SIN%20PROCESO%20-%20COMUNICACI&#211;N%20ORGANIZACIONAL\INFORME%20COMPONENTE%20COMUNICACI&#211;N%20ORGANIZACIONAL%202022%20-%2006102022.pdf" TargetMode="External"/><Relationship Id="rId85" Type="http://schemas.openxmlformats.org/officeDocument/2006/relationships/hyperlink" Target="PROCESO%20GESTI&#211;N%20FINANCIERA\INFORME%20GESTI&#211;N%20FINANCIERA%20COSTOS%202023%20-%2015012024.pdf" TargetMode="External"/><Relationship Id="rId3" Type="http://schemas.openxmlformats.org/officeDocument/2006/relationships/hyperlink" Target="PROCESO%20GESTI&#211;N%20FINANCIERA\INFORME%20GESTI&#211;N%20FINANCIERA%202020%20-%2022122020.pdf" TargetMode="External"/><Relationship Id="rId12" Type="http://schemas.openxmlformats.org/officeDocument/2006/relationships/hyperlink" Target="PROCESO%20GESTI&#211;N%20FINANCIERA\INFORME%20CAJAS%20MENORES%202023%20-%2012072023.pdf" TargetMode="External"/><Relationship Id="rId17" Type="http://schemas.openxmlformats.org/officeDocument/2006/relationships/hyperlink" Target="PROCESO%20GESTI&#211;N%20VENTA%20DE%20SERVICIOS\INFORME%20GESTI&#211;N%20VENTA%20DE%20SERVICIOS%202023%20-%2028032023.pdf" TargetMode="External"/><Relationship Id="rId25" Type="http://schemas.openxmlformats.org/officeDocument/2006/relationships/hyperlink" Target="PROCESO%20ATENCI&#211;N%20AMBULATORIA\INFORME%20ATENCI&#211;N%20AMBULATORIA%202019%20-%2019122019.pdf" TargetMode="External"/><Relationship Id="rId33" Type="http://schemas.openxmlformats.org/officeDocument/2006/relationships/hyperlink" Target="PROCESO%20ATENCI&#211;N%20EN%20HOSPITALIZACI&#211;N\INFORME%20CONSENTIMIENTO%20INFORMADO%202020%20-%2007092020.pdf" TargetMode="External"/><Relationship Id="rId38" Type="http://schemas.openxmlformats.org/officeDocument/2006/relationships/hyperlink" Target="PROCESO%20GESTI&#211;N%20TALENTO%20HUMANO\INFORME%20GESTI&#211;N%20TALENTO%20HUMANO%20PROGRAMA%20DE%20VIVIENDA%202020%20-%2011092020.pdf" TargetMode="External"/><Relationship Id="rId46" Type="http://schemas.openxmlformats.org/officeDocument/2006/relationships/hyperlink" Target="PROCESO%20GESTI&#211;N%20LOG&#205;STICA\INFORME%20SEGURIDAD%20HOSPITALARIA%20SERVICIOS%20DE%20URGENCIAS%202021%20-%2003082021.pdf" TargetMode="External"/><Relationship Id="rId59" Type="http://schemas.openxmlformats.org/officeDocument/2006/relationships/hyperlink" Target="PROCESO%20GESTI&#211;N%20TALENTO%20HUMANO\INFORME%20GESTI&#211;N%20TALENTO%20HUMANO%202023%20-%2009102023.pdf" TargetMode="External"/><Relationship Id="rId67" Type="http://schemas.openxmlformats.org/officeDocument/2006/relationships/hyperlink" Target="PROCESO%20GESTI&#211;N%20DE%20LA%20CONTRATACI&#211;N\INFORME%20CONTRATACION%20BIENES%20Y%20SERVICIOS%202023-3%20-%2009112023.pdf" TargetMode="External"/><Relationship Id="rId20" Type="http://schemas.openxmlformats.org/officeDocument/2006/relationships/hyperlink" Target="PROCESO%20ATENCI&#211;N%20QUIR&#218;RGICA\INFORME%20ATENCION%20QUIRURGICA%202019%20-%2028052019%20.pdf" TargetMode="External"/><Relationship Id="rId41" Type="http://schemas.openxmlformats.org/officeDocument/2006/relationships/hyperlink" Target="PROCESO%20GESTI&#211;N%20TALENTO%20HUMANO\INFORME%20GESTI&#211;N%20CUADRO%20DE%20TURNOS%202021%20-%2012032021.pdf" TargetMode="External"/><Relationship Id="rId54" Type="http://schemas.openxmlformats.org/officeDocument/2006/relationships/hyperlink" Target="PROCESO%20GESTI&#211;N%20SERVICIO%20FARMAC&#201;UTICO\INFORME%20GESTI&#211;N%20SERVICIO%20FARMAC&#201;UTICO%202023%20-%2007032023.pdf" TargetMode="External"/><Relationship Id="rId62" Type="http://schemas.openxmlformats.org/officeDocument/2006/relationships/hyperlink" Target="PROCESO%20GESTI&#211;N%20LOG&#205;STICA\INFORME%20GESTI&#211;N%20DE%20BIENES%20MUEBLES%202022-%2003062022.pdf" TargetMode="External"/><Relationship Id="rId70" Type="http://schemas.openxmlformats.org/officeDocument/2006/relationships/hyperlink" Target="PROCESO%20GESTI&#211;N%20SALUD%20P&#218;BLICA%20Y%20TERRITORIAL\INFORME%20CONDICIONES%20ALMACENAMIENTO%20PROYECTOS%20SALUD%20P&#218;BLICA%202022%20-%2016032022.pdf" TargetMode="External"/><Relationship Id="rId75" Type="http://schemas.openxmlformats.org/officeDocument/2006/relationships/hyperlink" Target="PROCESO%20GESTI&#211;N%20FINANCIERA\INFORME%20GESTI&#211;N%20FINANCIERA%20PRESUPUESTO%202023%20-%2026102023.pdf" TargetMode="External"/><Relationship Id="rId83" Type="http://schemas.openxmlformats.org/officeDocument/2006/relationships/hyperlink" Target="PROCESO%20GESTI&#211;N%20DE%20LA%20CONTRATACI&#211;N\INFORME%20CONTRATACION%20BIENES%20Y%20SERVICIOS%202023-4%20-%2019122023.pdf" TargetMode="External"/><Relationship Id="rId1" Type="http://schemas.openxmlformats.org/officeDocument/2006/relationships/hyperlink" Target="PROCESO%20GESTI&#211;N%20FINANCIERA\INFORME%20GESTI&#211;N%20FINANCIERA%202019%20-%2011122019.pdf" TargetMode="External"/><Relationship Id="rId6" Type="http://schemas.openxmlformats.org/officeDocument/2006/relationships/hyperlink" Target="PROCESO%20GESTI&#211;N%20FINANCIERA\INFORME%20FACTURACI&#211;N,%20CARTERA,%20GLOSAS%202021%20-%2030062021.pdf" TargetMode="External"/><Relationship Id="rId15" Type="http://schemas.openxmlformats.org/officeDocument/2006/relationships/hyperlink" Target="PROCESO%20GESTI&#211;N%20VENTA%20DE%20SERVICIOS\INFORME%20GESTI&#211;N%20VENTA%20DE%20SERVICIOS%202019%20-%2005082019.pdf" TargetMode="External"/><Relationship Id="rId23" Type="http://schemas.openxmlformats.org/officeDocument/2006/relationships/hyperlink" Target="PROCESO%20GESTI&#211;N%20SERVICIO%20FARMAC&#201;UTICO\INFORME%20GESTI&#211;N%20SERVICIO%20FARMAC&#201;UTICO%202019%20-%2024102019.pdf" TargetMode="External"/><Relationship Id="rId28" Type="http://schemas.openxmlformats.org/officeDocument/2006/relationships/hyperlink" Target="PROCESO%20GESTI&#211;N%20DOCUMENTAL\INFORME%20MANEJO%20DE%20ARCHIVO%20CL&#205;NICO%202021%20-%2017092021.pdf" TargetMode="External"/><Relationship Id="rId36" Type="http://schemas.openxmlformats.org/officeDocument/2006/relationships/hyperlink" Target="PROCESO%20GESTI&#211;N%20SERVICIO%20FARMAC&#201;UTICO\INFORME%20GESTI&#211;N%20SERVICIO%20FARMAC&#201;UTICO%202020%20-%2020102020.pdf" TargetMode="External"/><Relationship Id="rId49" Type="http://schemas.openxmlformats.org/officeDocument/2006/relationships/hyperlink" Target="PROCESO%20ATENCI&#211;N%20EN%20HOSPITALIZACI&#211;N\INFORME%20GESTI&#211;N%20DE%20CAMAS%202021%20-%2005102021.pdf" TargetMode="External"/><Relationship Id="rId57" Type="http://schemas.openxmlformats.org/officeDocument/2006/relationships/hyperlink" Target="SIN%20PROCESO%20-%20AUDITOR&#205;AS%20INTEGRALES\INFORME%20AUDITOR&#205;A%20INTEGRAL%20UPSS%202%202023-%2018072023.pdf" TargetMode="External"/><Relationship Id="rId10" Type="http://schemas.openxmlformats.org/officeDocument/2006/relationships/hyperlink" Target="PROCESO%20GESTI&#211;N%20FINANCIERA\INFORME%20CUADRE%20DE%20CAJA%202023-1%20-%2027022023.pdf" TargetMode="External"/><Relationship Id="rId31" Type="http://schemas.openxmlformats.org/officeDocument/2006/relationships/hyperlink" Target="PROCESO%20GESTI&#211;N%20TALENTO%20HUMANO\INFORME%20PAGO%20DE%20N&#211;MINA%20CONDUCTORES%20AMBULANCIA%202020%20-%2027072020.pdf" TargetMode="External"/><Relationship Id="rId44" Type="http://schemas.openxmlformats.org/officeDocument/2006/relationships/hyperlink" Target="PROCESO%20ATENCI&#211;N%20EN%20HOSPITALIZACI&#211;N\INFORME%20ATENCI&#211;N%20EN%20HOSPITALIZACI&#211;N%202021%20-%2012082021.pdf" TargetMode="External"/><Relationship Id="rId52" Type="http://schemas.openxmlformats.org/officeDocument/2006/relationships/hyperlink" Target="PROCESO%20GESTI&#211;N%20LOG&#205;STICA\INFORME%20MANTENIMIENTO%20DE%20BIENES%20-%20EQUIPOS%20BIOM&#201;DICOS%202022%20-%2028032022.pdf" TargetMode="External"/><Relationship Id="rId60" Type="http://schemas.openxmlformats.org/officeDocument/2006/relationships/hyperlink" Target="PROCESO%20GESTI&#211;N%20LOG&#205;STICA\INFORME%20CONTRATO%20INTERMEDIACI&#211;N%20DE%20SEGUROS%202020%20-%2002072020.pdf" TargetMode="External"/><Relationship Id="rId65" Type="http://schemas.openxmlformats.org/officeDocument/2006/relationships/hyperlink" Target="PROCESO%20GESTI&#211;N%20DE%20LA%20CONTRATACI&#211;N\INFORME%20CONTRATACION%20BIENES%20Y%20SERVICIOS%202023-1%20-%2020062023.pdf" TargetMode="External"/><Relationship Id="rId73" Type="http://schemas.openxmlformats.org/officeDocument/2006/relationships/hyperlink" Target="PROCESO%20GESTI&#211;N%20VENTA%20DE%20SERVICIOS\INFORME%20CONTRATACI&#211;N%20PRESTACI&#211;N%20DE%20SERVICIOS%202021%20-%2018052021.pdf" TargetMode="External"/><Relationship Id="rId78" Type="http://schemas.openxmlformats.org/officeDocument/2006/relationships/hyperlink" Target="PROCESO%20DESARROLLO%20DEL%20SISTEMA%20DE%20GESTI&#211;N\INFORME%20DESARROLLO%20SISTEMA%20DE%20GESTI&#211;N%202021%20-%2004062021.pdf" TargetMode="External"/><Relationship Id="rId81" Type="http://schemas.openxmlformats.org/officeDocument/2006/relationships/hyperlink" Target="PROCESO%20GESTI&#211;N%20LOG&#205;STICA\INFORME%20CONTROL%20DE%20INVENTARIO%20BIENES%20MUEBLES%202023%20-10112023.pdf" TargetMode="External"/><Relationship Id="rId86" Type="http://schemas.openxmlformats.org/officeDocument/2006/relationships/printerSettings" Target="../printerSettings/printerSettings3.bin"/><Relationship Id="rId4" Type="http://schemas.openxmlformats.org/officeDocument/2006/relationships/hyperlink" Target="PROCESO%20GESTI&#211;N%20FINANCIERA\INFORME%20CUADRE%20DE%20CAJA%202021-1%20-%2011062021.pdf" TargetMode="External"/><Relationship Id="rId9" Type="http://schemas.openxmlformats.org/officeDocument/2006/relationships/hyperlink" Target="PROCESO%20GESTI&#211;N%20FINANCIERA\INFORME%20CAJAS%20MENORES%202022-%2020092022.pdf" TargetMode="External"/><Relationship Id="rId13" Type="http://schemas.openxmlformats.org/officeDocument/2006/relationships/hyperlink" Target="PROCESO%20GESTI&#211;N%20FINANCIERA\INFORME%20FACTURACI&#211;N,%20CARTERA,%20GLOSAS%202023%20-%2029082023.pdf" TargetMode="External"/><Relationship Id="rId18" Type="http://schemas.openxmlformats.org/officeDocument/2006/relationships/hyperlink" Target="PROCESO%20GESTI&#211;N%20DOCUMENTAL\INFORME%20GESTI&#211;N%20DOCUMENTAL%202019%20-%2012122019.pdf" TargetMode="External"/><Relationship Id="rId39" Type="http://schemas.openxmlformats.org/officeDocument/2006/relationships/hyperlink" Target="PROCESO%20GESTI&#211;N%20DOCENCIA%20SERVICIO\INFORME%20GESTI&#211;N%20DOCENCIA%20SERVICIO%202020%20-%2030112020.pdf" TargetMode="External"/><Relationship Id="rId34" Type="http://schemas.openxmlformats.org/officeDocument/2006/relationships/hyperlink" Target="PROCESO%20ATENCI&#211;N%20EN%20LABORATORIO%20CL&#205;NICO\INFORME%20ATENCI&#211;N%20EN%20LABORATORIO%20CL&#205;NICO%202020%20-%2006112020.pdf" TargetMode="External"/><Relationship Id="rId50" Type="http://schemas.openxmlformats.org/officeDocument/2006/relationships/hyperlink" Target="PROCESO%20GESTI&#211;N%20LOG&#205;STICA\INFORME%20CONTROL%20DE%20INVENTARIO%202021%20-%2030102021.pdf" TargetMode="External"/><Relationship Id="rId55" Type="http://schemas.openxmlformats.org/officeDocument/2006/relationships/hyperlink" Target="SIN%20PROCESO%20-%20AUDITOR&#205;AS%20INTEGRALES\INFORME%20AUDITORIA%20INTEGRAL%20UPSS%201%20SEGUIMIENTO%20PLAN%20SUPERSALUD%202023%20-%2025042023%20ANEXO.pdf" TargetMode="External"/><Relationship Id="rId76" Type="http://schemas.openxmlformats.org/officeDocument/2006/relationships/hyperlink" Target="PROCESO%20DIRECCIONAMIENTO%20Y%20PLANEACI&#211;N\INFORME%20PAMEC%202022%20-%2024052022.pdf" TargetMode="External"/><Relationship Id="rId7" Type="http://schemas.openxmlformats.org/officeDocument/2006/relationships/hyperlink" Target="PROCESO%20GESTI&#211;N%20FINANCIERA\INFORME%20CUADRE%20DE%20CAJA%202022-1%20-%2025012022.pdf" TargetMode="External"/><Relationship Id="rId71" Type="http://schemas.openxmlformats.org/officeDocument/2006/relationships/hyperlink" Target="PROCESO%20GESTI&#211;N%20SALUD%20P&#218;BLICA%20Y%20TERRITORIAL\INFORME%20PROYECTOS%20SALUD%20PUBLICA%20-%20MAITE%202022%20-%2006102022.pdf" TargetMode="External"/><Relationship Id="rId2" Type="http://schemas.openxmlformats.org/officeDocument/2006/relationships/hyperlink" Target="PROCESO%20GESTI&#211;N%20FINANCIERA\INFORME%20CAJAS%20MENORES%202019%20-%2020022019.pdf" TargetMode="External"/><Relationship Id="rId29" Type="http://schemas.openxmlformats.org/officeDocument/2006/relationships/hyperlink" Target="PROCESO%20GESTI&#211;N%20LOG&#205;STICA\INFORME%20CONTROL%20DE%20INVENTARIO%20DE%20BIENES%202020%20-%2020052020.pdf" TargetMode="External"/><Relationship Id="rId24" Type="http://schemas.openxmlformats.org/officeDocument/2006/relationships/hyperlink" Target="PROCESO%20ATENCI&#211;N%20EN%20LABORATORIO%20CL&#205;NICO\INFORME%20ATENCI&#211;N%20EN%20LABORATORIO%20CL&#205;NICO%202019%20-%2002122019.pdf" TargetMode="External"/><Relationship Id="rId40" Type="http://schemas.openxmlformats.org/officeDocument/2006/relationships/hyperlink" Target="PROCESO%20ATENCI&#211;N%20EN%20HOSPITALIZACI&#211;N\INFORME%20ATENCI&#211;N%20EN%20HOSPITALIZACI&#211;N%202020%20-%2026112020.pdf" TargetMode="External"/><Relationship Id="rId45" Type="http://schemas.openxmlformats.org/officeDocument/2006/relationships/hyperlink" Target="PROCESO%20ATENCI&#211;N%20EN%20P%20Y%20P\INFORME%20CICLO%20DE%20ATENCI&#211;N%20MATERNO%20PERINATAL%202021%20-%2006092021.pdf" TargetMode="External"/><Relationship Id="rId66" Type="http://schemas.openxmlformats.org/officeDocument/2006/relationships/hyperlink" Target="PROCESO%20GESTI&#211;N%20DE%20LA%20CONTRATACI&#211;N\INFORME%20CONTRATACION%20BIENES%20Y%20SERVICIOS%202023-2%20-%2005072023.pdf" TargetMode="External"/><Relationship Id="rId61" Type="http://schemas.openxmlformats.org/officeDocument/2006/relationships/hyperlink" Target="PROCESO%20GESTI&#211;N%20LOG&#205;STICA\INFORME%20INSTRUCTIVO%20LEGALIZACI&#211;N%20DE%20DONACIONES%202022%20-%2016062022%20.pdf" TargetMode="External"/><Relationship Id="rId82" Type="http://schemas.openxmlformats.org/officeDocument/2006/relationships/hyperlink" Target="PROCESO%20GESTI&#211;N%20FINANCIERA\INFORME%20CUADRE%20DE%20CAJA%202023-3%20-%2027122023.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I230"/>
  <sheetViews>
    <sheetView showGridLines="0" zoomScale="70" zoomScaleNormal="70" workbookViewId="0">
      <pane xSplit="1" ySplit="4" topLeftCell="B5" activePane="bottomRight" state="frozen"/>
      <selection pane="topRight" activeCell="B1" sqref="B1"/>
      <selection pane="bottomLeft" activeCell="A6" sqref="A6"/>
      <selection pane="bottomRight" activeCell="A4" sqref="A4"/>
    </sheetView>
  </sheetViews>
  <sheetFormatPr baseColWidth="10" defaultColWidth="11.44140625" defaultRowHeight="13.8" outlineLevelCol="1"/>
  <cols>
    <col min="1" max="1" width="1.88671875" style="58" customWidth="1"/>
    <col min="2" max="2" width="14" style="55" customWidth="1"/>
    <col min="3" max="3" width="60.88671875" style="55" customWidth="1"/>
    <col min="4" max="5" width="60.88671875" style="58" customWidth="1" outlineLevel="1"/>
    <col min="6" max="6" width="33.6640625" style="58" customWidth="1" outlineLevel="1"/>
    <col min="7" max="8" width="33.6640625" style="58" customWidth="1"/>
    <col min="9" max="9" width="19.109375" style="55" customWidth="1"/>
    <col min="10" max="10" width="1" style="55" customWidth="1"/>
    <col min="11" max="11" width="21.44140625" style="56" customWidth="1" collapsed="1"/>
    <col min="12" max="12" width="19.109375" style="58" customWidth="1"/>
    <col min="13" max="14" width="19.109375" style="56" customWidth="1"/>
    <col min="15" max="15" width="18.6640625" style="88" customWidth="1"/>
    <col min="16" max="19" width="18.6640625" style="87" customWidth="1"/>
    <col min="20" max="20" width="21.44140625" style="88" customWidth="1"/>
    <col min="21" max="23" width="19.109375" style="58" customWidth="1"/>
    <col min="24" max="24" width="22.6640625" style="58" customWidth="1"/>
    <col min="25" max="25" width="11.44140625" style="58"/>
    <col min="26" max="26" width="0" style="29" hidden="1" customWidth="1"/>
    <col min="27" max="27" width="12.33203125" style="29" hidden="1" customWidth="1"/>
    <col min="28" max="29" width="0" style="29" hidden="1" customWidth="1"/>
    <col min="30" max="30" width="14" style="29" hidden="1" customWidth="1"/>
    <col min="31" max="34" width="0" style="29" hidden="1" customWidth="1"/>
    <col min="35" max="35" width="0" style="58" hidden="1" customWidth="1"/>
    <col min="36" max="16384" width="11.44140625" style="58"/>
  </cols>
  <sheetData>
    <row r="1" spans="2:35" s="56" customFormat="1">
      <c r="B1" s="52"/>
      <c r="C1" s="52"/>
      <c r="I1" s="52"/>
      <c r="J1" s="52"/>
      <c r="Z1" s="27"/>
      <c r="AA1" s="27"/>
      <c r="AB1" s="27"/>
      <c r="AC1" s="27"/>
      <c r="AD1" s="27"/>
      <c r="AE1" s="27"/>
      <c r="AF1" s="27"/>
      <c r="AG1" s="27"/>
      <c r="AH1" s="27"/>
    </row>
    <row r="2" spans="2:35" s="56" customFormat="1" ht="20.399999999999999">
      <c r="B2" s="66" t="s">
        <v>351</v>
      </c>
      <c r="C2" s="53"/>
      <c r="D2" s="57"/>
      <c r="E2" s="57"/>
      <c r="F2" s="57"/>
      <c r="G2" s="57"/>
      <c r="H2" s="57"/>
      <c r="I2" s="53"/>
      <c r="J2" s="53"/>
      <c r="K2" s="52">
        <v>2</v>
      </c>
      <c r="L2" s="52">
        <v>5</v>
      </c>
      <c r="M2" s="52">
        <v>6</v>
      </c>
      <c r="N2" s="52">
        <v>4</v>
      </c>
      <c r="O2" s="52">
        <v>7</v>
      </c>
      <c r="P2" s="52">
        <v>8</v>
      </c>
      <c r="Q2" s="52">
        <v>9</v>
      </c>
      <c r="R2" s="52">
        <v>10</v>
      </c>
      <c r="S2" s="52">
        <v>11</v>
      </c>
      <c r="T2" s="52">
        <v>3</v>
      </c>
      <c r="U2" s="52"/>
      <c r="V2" s="52"/>
      <c r="W2" s="52"/>
      <c r="X2" s="52"/>
      <c r="Z2" s="27"/>
      <c r="AA2" s="27"/>
      <c r="AB2" s="27"/>
      <c r="AC2" s="27"/>
      <c r="AD2" s="27"/>
      <c r="AE2" s="27"/>
      <c r="AF2" s="27"/>
      <c r="AG2" s="27"/>
      <c r="AH2" s="27"/>
    </row>
    <row r="3" spans="2:35" s="112" customFormat="1">
      <c r="B3" s="77"/>
      <c r="C3" s="77"/>
      <c r="E3" s="77" t="s">
        <v>311</v>
      </c>
      <c r="I3" s="77"/>
      <c r="J3" s="113"/>
      <c r="K3" s="77" t="s">
        <v>297</v>
      </c>
      <c r="L3" s="77" t="s">
        <v>300</v>
      </c>
      <c r="M3" s="77" t="s">
        <v>301</v>
      </c>
      <c r="N3" s="77" t="s">
        <v>299</v>
      </c>
      <c r="O3" s="77" t="s">
        <v>302</v>
      </c>
      <c r="P3" s="77" t="s">
        <v>303</v>
      </c>
      <c r="Q3" s="77" t="s">
        <v>304</v>
      </c>
      <c r="R3" s="77" t="s">
        <v>305</v>
      </c>
      <c r="S3" s="77" t="s">
        <v>306</v>
      </c>
      <c r="T3" s="77" t="s">
        <v>298</v>
      </c>
      <c r="U3" s="77" t="s">
        <v>307</v>
      </c>
      <c r="V3" s="77" t="s">
        <v>308</v>
      </c>
      <c r="W3" s="77" t="s">
        <v>309</v>
      </c>
      <c r="X3" s="77" t="s">
        <v>310</v>
      </c>
      <c r="Z3" s="114"/>
      <c r="AA3" s="114"/>
      <c r="AB3" s="114"/>
      <c r="AC3" s="114"/>
      <c r="AD3" s="114"/>
      <c r="AE3" s="114"/>
      <c r="AF3" s="114"/>
      <c r="AG3" s="114"/>
      <c r="AH3" s="114"/>
    </row>
    <row r="4" spans="2:35" ht="57.75" customHeight="1">
      <c r="B4" s="51" t="s">
        <v>0</v>
      </c>
      <c r="C4" s="51" t="s">
        <v>1</v>
      </c>
      <c r="D4" s="51" t="s">
        <v>2</v>
      </c>
      <c r="E4" s="51" t="s">
        <v>333</v>
      </c>
      <c r="F4" s="51" t="s">
        <v>3</v>
      </c>
      <c r="G4" s="51" t="s">
        <v>4</v>
      </c>
      <c r="H4" s="51" t="s">
        <v>5</v>
      </c>
      <c r="I4" s="51" t="s">
        <v>349</v>
      </c>
      <c r="J4" s="53"/>
      <c r="K4" s="59" t="s">
        <v>189</v>
      </c>
      <c r="L4" s="59" t="s">
        <v>188</v>
      </c>
      <c r="M4" s="59" t="s">
        <v>335</v>
      </c>
      <c r="N4" s="59" t="s">
        <v>334</v>
      </c>
      <c r="O4" s="59" t="s">
        <v>196</v>
      </c>
      <c r="P4" s="125" t="s">
        <v>322</v>
      </c>
      <c r="Q4" s="60" t="s">
        <v>320</v>
      </c>
      <c r="R4" s="61" t="s">
        <v>321</v>
      </c>
      <c r="S4" s="62" t="s">
        <v>323</v>
      </c>
      <c r="T4" s="59" t="s">
        <v>7</v>
      </c>
      <c r="U4" s="51" t="s">
        <v>319</v>
      </c>
      <c r="V4" s="51" t="s">
        <v>318</v>
      </c>
      <c r="W4" s="51" t="s">
        <v>317</v>
      </c>
      <c r="X4" s="51" t="s">
        <v>207</v>
      </c>
    </row>
    <row r="5" spans="2:35" s="29" customFormat="1" ht="33" customHeight="1">
      <c r="B5" s="50">
        <v>2019</v>
      </c>
      <c r="C5" s="49" t="s">
        <v>56</v>
      </c>
      <c r="D5" s="39" t="s">
        <v>57</v>
      </c>
      <c r="E5" s="46" t="s">
        <v>224</v>
      </c>
      <c r="F5" s="39" t="s">
        <v>34</v>
      </c>
      <c r="G5" s="39" t="s">
        <v>35</v>
      </c>
      <c r="H5" s="39" t="s">
        <v>36</v>
      </c>
      <c r="I5" s="10">
        <v>43516</v>
      </c>
      <c r="J5" s="53"/>
      <c r="K5" s="43">
        <v>9</v>
      </c>
      <c r="L5" s="47" t="s">
        <v>336</v>
      </c>
      <c r="M5" s="67">
        <v>1</v>
      </c>
      <c r="N5" s="44">
        <v>44169</v>
      </c>
      <c r="O5" s="67">
        <v>13</v>
      </c>
      <c r="P5" s="70">
        <v>1</v>
      </c>
      <c r="Q5" s="71">
        <v>7</v>
      </c>
      <c r="R5" s="71">
        <v>5</v>
      </c>
      <c r="S5" s="72">
        <v>0</v>
      </c>
      <c r="T5" s="67">
        <v>0</v>
      </c>
      <c r="U5" s="42">
        <v>7.6923076923076927E-2</v>
      </c>
      <c r="V5" s="42">
        <v>0.53846153846153844</v>
      </c>
      <c r="W5" s="42">
        <v>0.38461538461538464</v>
      </c>
      <c r="X5" s="45">
        <v>0</v>
      </c>
      <c r="AI5" s="30">
        <v>13</v>
      </c>
    </row>
    <row r="6" spans="2:35" s="29" customFormat="1" ht="33" customHeight="1">
      <c r="B6" s="74">
        <v>2019</v>
      </c>
      <c r="C6" s="49" t="s">
        <v>9</v>
      </c>
      <c r="D6" s="39" t="s">
        <v>191</v>
      </c>
      <c r="E6" s="40" t="s">
        <v>208</v>
      </c>
      <c r="F6" s="39" t="s">
        <v>10</v>
      </c>
      <c r="G6" s="41" t="s">
        <v>11</v>
      </c>
      <c r="H6" s="41" t="s">
        <v>12</v>
      </c>
      <c r="I6" s="75">
        <v>43613</v>
      </c>
      <c r="J6" s="53"/>
      <c r="K6" s="43">
        <v>4</v>
      </c>
      <c r="L6" s="47" t="s">
        <v>336</v>
      </c>
      <c r="M6" s="67">
        <v>2</v>
      </c>
      <c r="N6" s="44">
        <v>45231</v>
      </c>
      <c r="O6" s="67">
        <v>15</v>
      </c>
      <c r="P6" s="70">
        <v>11</v>
      </c>
      <c r="Q6" s="71">
        <v>1</v>
      </c>
      <c r="R6" s="71">
        <v>3</v>
      </c>
      <c r="S6" s="72">
        <v>0</v>
      </c>
      <c r="T6" s="67">
        <v>2</v>
      </c>
      <c r="U6" s="42">
        <v>0.73333333333333328</v>
      </c>
      <c r="V6" s="42">
        <v>6.6666666666666666E-2</v>
      </c>
      <c r="W6" s="42">
        <v>0.2</v>
      </c>
      <c r="X6" s="42">
        <v>0.5</v>
      </c>
      <c r="AA6" s="29" t="s">
        <v>209</v>
      </c>
      <c r="AD6" s="29" t="e">
        <v>#REF!</v>
      </c>
      <c r="AI6" s="30">
        <v>15</v>
      </c>
    </row>
    <row r="7" spans="2:35" s="29" customFormat="1" ht="33" customHeight="1">
      <c r="B7" s="50">
        <v>2019</v>
      </c>
      <c r="C7" s="49" t="s">
        <v>42</v>
      </c>
      <c r="D7" s="49" t="s">
        <v>43</v>
      </c>
      <c r="E7" s="39" t="s">
        <v>221</v>
      </c>
      <c r="F7" s="49" t="s">
        <v>44</v>
      </c>
      <c r="G7" s="39" t="s">
        <v>45</v>
      </c>
      <c r="H7" s="39" t="s">
        <v>46</v>
      </c>
      <c r="I7" s="10">
        <v>43682</v>
      </c>
      <c r="J7" s="53"/>
      <c r="K7" s="43">
        <v>3</v>
      </c>
      <c r="L7" s="47" t="s">
        <v>336</v>
      </c>
      <c r="M7" s="43">
        <v>4</v>
      </c>
      <c r="N7" s="44">
        <v>44805</v>
      </c>
      <c r="O7" s="67">
        <v>11</v>
      </c>
      <c r="P7" s="70">
        <v>10</v>
      </c>
      <c r="Q7" s="71">
        <v>0</v>
      </c>
      <c r="R7" s="71">
        <v>1</v>
      </c>
      <c r="S7" s="72">
        <v>0</v>
      </c>
      <c r="T7" s="67">
        <v>2</v>
      </c>
      <c r="U7" s="42">
        <v>0.90909090909090906</v>
      </c>
      <c r="V7" s="42">
        <v>0</v>
      </c>
      <c r="W7" s="42">
        <v>9.0909090909090912E-2</v>
      </c>
      <c r="X7" s="45">
        <v>0.66666666666666663</v>
      </c>
      <c r="AI7" s="30">
        <v>11</v>
      </c>
    </row>
    <row r="8" spans="2:35" s="29" customFormat="1" ht="33" customHeight="1">
      <c r="B8" s="50">
        <v>2019</v>
      </c>
      <c r="C8" s="49" t="s">
        <v>13</v>
      </c>
      <c r="D8" s="39" t="s">
        <v>14</v>
      </c>
      <c r="E8" s="39" t="s">
        <v>210</v>
      </c>
      <c r="F8" s="39" t="s">
        <v>15</v>
      </c>
      <c r="G8" s="39" t="s">
        <v>11</v>
      </c>
      <c r="H8" s="39" t="s">
        <v>16</v>
      </c>
      <c r="I8" s="75">
        <v>43692</v>
      </c>
      <c r="J8" s="53"/>
      <c r="K8" s="43">
        <v>6</v>
      </c>
      <c r="L8" s="6" t="s">
        <v>336</v>
      </c>
      <c r="M8" s="8">
        <v>2</v>
      </c>
      <c r="N8" s="9">
        <v>44683</v>
      </c>
      <c r="O8" s="6">
        <v>7</v>
      </c>
      <c r="P8" s="115">
        <v>3</v>
      </c>
      <c r="Q8" s="116">
        <v>2</v>
      </c>
      <c r="R8" s="116">
        <v>2</v>
      </c>
      <c r="S8" s="117">
        <v>0</v>
      </c>
      <c r="T8" s="14">
        <v>2</v>
      </c>
      <c r="U8" s="42">
        <v>0.42857142857142855</v>
      </c>
      <c r="V8" s="42">
        <v>0.2857142857142857</v>
      </c>
      <c r="W8" s="42">
        <v>0.2857142857142857</v>
      </c>
      <c r="X8" s="45">
        <v>0.33333333333333331</v>
      </c>
      <c r="AI8" s="30">
        <v>7</v>
      </c>
    </row>
    <row r="9" spans="2:35" s="29" customFormat="1" ht="33" customHeight="1">
      <c r="B9" s="50">
        <v>2019</v>
      </c>
      <c r="C9" s="49" t="s">
        <v>17</v>
      </c>
      <c r="D9" s="39" t="s">
        <v>18</v>
      </c>
      <c r="E9" s="46" t="s">
        <v>211</v>
      </c>
      <c r="F9" s="39" t="s">
        <v>15</v>
      </c>
      <c r="G9" s="39" t="s">
        <v>11</v>
      </c>
      <c r="H9" s="39" t="s">
        <v>19</v>
      </c>
      <c r="I9" s="75">
        <v>43727</v>
      </c>
      <c r="J9" s="53"/>
      <c r="K9" s="43">
        <v>7</v>
      </c>
      <c r="L9" s="6" t="s">
        <v>336</v>
      </c>
      <c r="M9" s="8">
        <v>1</v>
      </c>
      <c r="N9" s="9">
        <v>43804</v>
      </c>
      <c r="O9" s="6">
        <v>15</v>
      </c>
      <c r="P9" s="115">
        <v>0</v>
      </c>
      <c r="Q9" s="116">
        <v>1</v>
      </c>
      <c r="R9" s="116">
        <v>0</v>
      </c>
      <c r="S9" s="117">
        <v>14</v>
      </c>
      <c r="T9" s="14">
        <v>0</v>
      </c>
      <c r="U9" s="42">
        <v>0</v>
      </c>
      <c r="V9" s="42">
        <v>1</v>
      </c>
      <c r="W9" s="42">
        <v>0</v>
      </c>
      <c r="X9" s="45">
        <v>0</v>
      </c>
      <c r="AA9" s="29" t="s">
        <v>212</v>
      </c>
      <c r="AI9" s="30">
        <v>15</v>
      </c>
    </row>
    <row r="10" spans="2:35" s="29" customFormat="1" ht="33" customHeight="1">
      <c r="B10" s="50">
        <v>2019</v>
      </c>
      <c r="C10" s="49" t="s">
        <v>20</v>
      </c>
      <c r="D10" s="39" t="s">
        <v>21</v>
      </c>
      <c r="E10" s="48" t="s">
        <v>213</v>
      </c>
      <c r="F10" s="39" t="s">
        <v>15</v>
      </c>
      <c r="G10" s="39" t="s">
        <v>11</v>
      </c>
      <c r="H10" s="39" t="s">
        <v>22</v>
      </c>
      <c r="I10" s="75">
        <v>43762</v>
      </c>
      <c r="J10" s="53"/>
      <c r="K10" s="8">
        <v>8</v>
      </c>
      <c r="L10" s="6" t="s">
        <v>336</v>
      </c>
      <c r="M10" s="8">
        <v>1</v>
      </c>
      <c r="N10" s="9">
        <v>45226</v>
      </c>
      <c r="O10" s="6">
        <v>15</v>
      </c>
      <c r="P10" s="115">
        <v>0</v>
      </c>
      <c r="Q10" s="116">
        <v>0</v>
      </c>
      <c r="R10" s="116">
        <v>15</v>
      </c>
      <c r="S10" s="117">
        <v>0</v>
      </c>
      <c r="T10" s="14">
        <v>0</v>
      </c>
      <c r="U10" s="42">
        <v>0</v>
      </c>
      <c r="V10" s="42">
        <v>0</v>
      </c>
      <c r="W10" s="42">
        <v>1</v>
      </c>
      <c r="X10" s="45">
        <v>0</v>
      </c>
      <c r="AA10" s="31" t="s">
        <v>214</v>
      </c>
      <c r="AI10" s="30">
        <v>15</v>
      </c>
    </row>
    <row r="11" spans="2:35" s="29" customFormat="1" ht="33" customHeight="1">
      <c r="B11" s="50">
        <v>2019</v>
      </c>
      <c r="C11" s="49" t="s">
        <v>52</v>
      </c>
      <c r="D11" s="49" t="s">
        <v>53</v>
      </c>
      <c r="E11" s="46" t="s">
        <v>223</v>
      </c>
      <c r="F11" s="49" t="s">
        <v>10</v>
      </c>
      <c r="G11" s="39" t="s">
        <v>54</v>
      </c>
      <c r="H11" s="39" t="s">
        <v>55</v>
      </c>
      <c r="I11" s="75">
        <v>43791</v>
      </c>
      <c r="J11" s="53"/>
      <c r="K11" s="67">
        <v>4</v>
      </c>
      <c r="L11" s="69" t="s">
        <v>337</v>
      </c>
      <c r="M11" s="67" t="s">
        <v>338</v>
      </c>
      <c r="N11" s="68">
        <v>0</v>
      </c>
      <c r="O11" s="67">
        <v>0</v>
      </c>
      <c r="P11" s="70">
        <v>0</v>
      </c>
      <c r="Q11" s="71">
        <v>0</v>
      </c>
      <c r="R11" s="71">
        <v>0</v>
      </c>
      <c r="S11" s="72">
        <v>0</v>
      </c>
      <c r="T11" s="67">
        <v>0</v>
      </c>
      <c r="U11" s="42" t="s">
        <v>339</v>
      </c>
      <c r="V11" s="42" t="s">
        <v>339</v>
      </c>
      <c r="W11" s="42" t="s">
        <v>339</v>
      </c>
      <c r="X11" s="45">
        <v>0</v>
      </c>
      <c r="AI11" s="30">
        <v>0</v>
      </c>
    </row>
    <row r="12" spans="2:35" s="29" customFormat="1" ht="33" customHeight="1">
      <c r="B12" s="50">
        <v>2019</v>
      </c>
      <c r="C12" s="49" t="s">
        <v>23</v>
      </c>
      <c r="D12" s="39" t="s">
        <v>24</v>
      </c>
      <c r="E12" s="46" t="s">
        <v>215</v>
      </c>
      <c r="F12" s="39" t="s">
        <v>15</v>
      </c>
      <c r="G12" s="39" t="s">
        <v>11</v>
      </c>
      <c r="H12" s="39" t="s">
        <v>25</v>
      </c>
      <c r="I12" s="75">
        <v>43801</v>
      </c>
      <c r="J12" s="53"/>
      <c r="K12" s="8">
        <v>8</v>
      </c>
      <c r="L12" s="6" t="s">
        <v>336</v>
      </c>
      <c r="M12" s="8">
        <v>1</v>
      </c>
      <c r="N12" s="9">
        <v>45229</v>
      </c>
      <c r="O12" s="6">
        <v>8</v>
      </c>
      <c r="P12" s="115">
        <v>0</v>
      </c>
      <c r="Q12" s="116">
        <v>0</v>
      </c>
      <c r="R12" s="116">
        <v>8</v>
      </c>
      <c r="S12" s="117">
        <v>0</v>
      </c>
      <c r="T12" s="14">
        <v>0</v>
      </c>
      <c r="U12" s="42">
        <v>0</v>
      </c>
      <c r="V12" s="42">
        <v>0</v>
      </c>
      <c r="W12" s="42">
        <v>1</v>
      </c>
      <c r="X12" s="45">
        <v>0</v>
      </c>
      <c r="AA12" s="29">
        <v>1</v>
      </c>
      <c r="AB12" s="29">
        <v>1</v>
      </c>
      <c r="AC12" s="29">
        <v>1</v>
      </c>
      <c r="AD12" s="32" t="e">
        <v>#REF!</v>
      </c>
      <c r="AI12" s="30">
        <v>8</v>
      </c>
    </row>
    <row r="13" spans="2:35" s="29" customFormat="1" ht="33" customHeight="1">
      <c r="B13" s="50">
        <v>2019</v>
      </c>
      <c r="C13" s="49" t="s">
        <v>32</v>
      </c>
      <c r="D13" s="39" t="s">
        <v>33</v>
      </c>
      <c r="E13" s="46" t="s">
        <v>219</v>
      </c>
      <c r="F13" s="39" t="s">
        <v>34</v>
      </c>
      <c r="G13" s="39" t="s">
        <v>35</v>
      </c>
      <c r="H13" s="39" t="s">
        <v>36</v>
      </c>
      <c r="I13" s="10">
        <v>43810</v>
      </c>
      <c r="J13" s="53"/>
      <c r="K13" s="43">
        <v>15</v>
      </c>
      <c r="L13" s="47" t="s">
        <v>337</v>
      </c>
      <c r="M13" s="67" t="s">
        <v>338</v>
      </c>
      <c r="N13" s="44">
        <v>0</v>
      </c>
      <c r="O13" s="67">
        <v>0</v>
      </c>
      <c r="P13" s="70">
        <v>0</v>
      </c>
      <c r="Q13" s="71">
        <v>0</v>
      </c>
      <c r="R13" s="71">
        <v>0</v>
      </c>
      <c r="S13" s="72">
        <v>0</v>
      </c>
      <c r="T13" s="67">
        <v>0</v>
      </c>
      <c r="U13" s="42" t="s">
        <v>339</v>
      </c>
      <c r="V13" s="42" t="s">
        <v>339</v>
      </c>
      <c r="W13" s="42" t="s">
        <v>339</v>
      </c>
      <c r="X13" s="45">
        <v>0</v>
      </c>
      <c r="AA13" s="29">
        <v>1</v>
      </c>
      <c r="AB13" s="29">
        <v>1</v>
      </c>
      <c r="AC13" s="29">
        <v>1</v>
      </c>
      <c r="AD13" s="32" t="e">
        <v>#REF!</v>
      </c>
      <c r="AI13" s="30">
        <v>0</v>
      </c>
    </row>
    <row r="14" spans="2:35" s="29" customFormat="1" ht="33" customHeight="1">
      <c r="B14" s="50">
        <v>2019</v>
      </c>
      <c r="C14" s="49" t="s">
        <v>37</v>
      </c>
      <c r="D14" s="39" t="s">
        <v>38</v>
      </c>
      <c r="E14" s="46" t="s">
        <v>220</v>
      </c>
      <c r="F14" s="39" t="s">
        <v>39</v>
      </c>
      <c r="G14" s="39" t="s">
        <v>40</v>
      </c>
      <c r="H14" s="39" t="s">
        <v>41</v>
      </c>
      <c r="I14" s="10">
        <v>43811</v>
      </c>
      <c r="J14" s="53"/>
      <c r="K14" s="43">
        <v>4</v>
      </c>
      <c r="L14" s="47" t="s">
        <v>336</v>
      </c>
      <c r="M14" s="43">
        <v>1</v>
      </c>
      <c r="N14" s="44">
        <v>44019</v>
      </c>
      <c r="O14" s="67">
        <v>4</v>
      </c>
      <c r="P14" s="70">
        <v>0</v>
      </c>
      <c r="Q14" s="71">
        <v>3</v>
      </c>
      <c r="R14" s="71">
        <v>1</v>
      </c>
      <c r="S14" s="72">
        <v>0</v>
      </c>
      <c r="T14" s="67">
        <v>0</v>
      </c>
      <c r="U14" s="42">
        <v>0</v>
      </c>
      <c r="V14" s="42">
        <v>0.75</v>
      </c>
      <c r="W14" s="42">
        <v>0.25</v>
      </c>
      <c r="X14" s="45">
        <v>0</v>
      </c>
      <c r="AA14" s="29" t="s">
        <v>209</v>
      </c>
      <c r="AD14" s="29" t="e">
        <v>#REF!</v>
      </c>
      <c r="AI14" s="30">
        <v>4</v>
      </c>
    </row>
    <row r="15" spans="2:35" s="29" customFormat="1" ht="33" customHeight="1">
      <c r="B15" s="50">
        <v>2019</v>
      </c>
      <c r="C15" s="49" t="s">
        <v>47</v>
      </c>
      <c r="D15" s="49" t="s">
        <v>48</v>
      </c>
      <c r="E15" s="46" t="s">
        <v>222</v>
      </c>
      <c r="F15" s="49" t="s">
        <v>49</v>
      </c>
      <c r="G15" s="39" t="s">
        <v>50</v>
      </c>
      <c r="H15" s="39" t="s">
        <v>51</v>
      </c>
      <c r="I15" s="75">
        <v>43811</v>
      </c>
      <c r="J15" s="53"/>
      <c r="K15" s="43">
        <v>7</v>
      </c>
      <c r="L15" s="47" t="s">
        <v>336</v>
      </c>
      <c r="M15" s="67">
        <v>3</v>
      </c>
      <c r="N15" s="68">
        <v>45260</v>
      </c>
      <c r="O15" s="67">
        <v>16</v>
      </c>
      <c r="P15" s="70">
        <v>5</v>
      </c>
      <c r="Q15" s="71">
        <v>6</v>
      </c>
      <c r="R15" s="71">
        <v>5</v>
      </c>
      <c r="S15" s="72">
        <v>0</v>
      </c>
      <c r="T15" s="67">
        <v>2</v>
      </c>
      <c r="U15" s="42">
        <v>0.3125</v>
      </c>
      <c r="V15" s="42">
        <v>0.375</v>
      </c>
      <c r="W15" s="42">
        <v>0.3125</v>
      </c>
      <c r="X15" s="45">
        <v>0.2857142857142857</v>
      </c>
      <c r="AA15" s="29" t="s">
        <v>209</v>
      </c>
      <c r="AD15" s="29" t="e">
        <v>#REF!</v>
      </c>
      <c r="AI15" s="30">
        <v>16</v>
      </c>
    </row>
    <row r="16" spans="2:35" ht="33" customHeight="1">
      <c r="B16" s="50">
        <v>2019</v>
      </c>
      <c r="C16" s="49" t="s">
        <v>26</v>
      </c>
      <c r="D16" s="39" t="s">
        <v>27</v>
      </c>
      <c r="E16" s="39" t="s">
        <v>216</v>
      </c>
      <c r="F16" s="39" t="s">
        <v>15</v>
      </c>
      <c r="G16" s="39" t="s">
        <v>11</v>
      </c>
      <c r="H16" s="39" t="s">
        <v>28</v>
      </c>
      <c r="I16" s="75">
        <v>43818</v>
      </c>
      <c r="J16" s="53"/>
      <c r="K16" s="8">
        <v>6</v>
      </c>
      <c r="L16" s="6" t="s">
        <v>336</v>
      </c>
      <c r="M16" s="8">
        <v>3</v>
      </c>
      <c r="N16" s="9">
        <v>45232</v>
      </c>
      <c r="O16" s="6">
        <v>6</v>
      </c>
      <c r="P16" s="115">
        <v>4</v>
      </c>
      <c r="Q16" s="116">
        <v>1</v>
      </c>
      <c r="R16" s="116">
        <v>1</v>
      </c>
      <c r="S16" s="117">
        <v>0</v>
      </c>
      <c r="T16" s="14">
        <v>4</v>
      </c>
      <c r="U16" s="42">
        <v>0.66666666666666663</v>
      </c>
      <c r="V16" s="42">
        <v>0.16666666666666666</v>
      </c>
      <c r="W16" s="42">
        <v>0.16666666666666666</v>
      </c>
      <c r="X16" s="45">
        <v>0.66666666666666663</v>
      </c>
      <c r="Z16" s="29" t="e">
        <v>#VALUE!</v>
      </c>
      <c r="AA16" s="29" t="e">
        <v>#VALUE!</v>
      </c>
      <c r="AB16" s="29">
        <v>0</v>
      </c>
      <c r="AE16" s="33" t="s">
        <v>217</v>
      </c>
      <c r="AI16" s="55">
        <v>6</v>
      </c>
    </row>
    <row r="17" spans="2:35" s="29" customFormat="1" ht="33" customHeight="1">
      <c r="B17" s="50">
        <v>2019</v>
      </c>
      <c r="C17" s="49" t="s">
        <v>29</v>
      </c>
      <c r="D17" s="39" t="s">
        <v>30</v>
      </c>
      <c r="E17" s="48" t="s">
        <v>218</v>
      </c>
      <c r="F17" s="39" t="s">
        <v>15</v>
      </c>
      <c r="G17" s="39" t="s">
        <v>11</v>
      </c>
      <c r="H17" s="39" t="s">
        <v>31</v>
      </c>
      <c r="I17" s="75">
        <v>43818</v>
      </c>
      <c r="J17" s="53"/>
      <c r="K17" s="8">
        <v>6</v>
      </c>
      <c r="L17" s="6" t="s">
        <v>336</v>
      </c>
      <c r="M17" s="8">
        <v>1</v>
      </c>
      <c r="N17" s="9">
        <v>45237</v>
      </c>
      <c r="O17" s="6">
        <v>8</v>
      </c>
      <c r="P17" s="115">
        <v>0</v>
      </c>
      <c r="Q17" s="116">
        <v>1</v>
      </c>
      <c r="R17" s="116">
        <v>7</v>
      </c>
      <c r="S17" s="117">
        <v>0</v>
      </c>
      <c r="T17" s="14">
        <v>0</v>
      </c>
      <c r="U17" s="42">
        <v>0</v>
      </c>
      <c r="V17" s="42">
        <v>0.125</v>
      </c>
      <c r="W17" s="42">
        <v>0.875</v>
      </c>
      <c r="X17" s="45">
        <v>0</v>
      </c>
      <c r="AB17" s="29">
        <v>0</v>
      </c>
      <c r="AI17" s="30">
        <v>8</v>
      </c>
    </row>
    <row r="18" spans="2:35" s="29" customFormat="1" ht="33" customHeight="1">
      <c r="B18" s="50">
        <v>2020</v>
      </c>
      <c r="C18" s="49" t="s">
        <v>13</v>
      </c>
      <c r="D18" s="39" t="s">
        <v>60</v>
      </c>
      <c r="E18" s="39" t="s">
        <v>226</v>
      </c>
      <c r="F18" s="39" t="s">
        <v>15</v>
      </c>
      <c r="G18" s="39" t="s">
        <v>11</v>
      </c>
      <c r="H18" s="39" t="s">
        <v>16</v>
      </c>
      <c r="I18" s="75">
        <v>43927</v>
      </c>
      <c r="J18" s="53"/>
      <c r="K18" s="43">
        <v>7</v>
      </c>
      <c r="L18" s="6" t="s">
        <v>336</v>
      </c>
      <c r="M18" s="8">
        <v>1</v>
      </c>
      <c r="N18" s="9">
        <v>44748</v>
      </c>
      <c r="O18" s="6">
        <v>6</v>
      </c>
      <c r="P18" s="115">
        <v>2</v>
      </c>
      <c r="Q18" s="116">
        <v>3</v>
      </c>
      <c r="R18" s="116">
        <v>1</v>
      </c>
      <c r="S18" s="117">
        <v>0</v>
      </c>
      <c r="T18" s="14">
        <v>2</v>
      </c>
      <c r="U18" s="42">
        <v>0.33333333333333331</v>
      </c>
      <c r="V18" s="42">
        <v>0.5</v>
      </c>
      <c r="W18" s="42">
        <v>0.16666666666666666</v>
      </c>
      <c r="X18" s="45">
        <v>0.2857142857142857</v>
      </c>
      <c r="AB18" s="29">
        <v>0</v>
      </c>
      <c r="AI18" s="30">
        <v>6</v>
      </c>
    </row>
    <row r="19" spans="2:35" s="29" customFormat="1" ht="33" customHeight="1">
      <c r="B19" s="50">
        <v>2020</v>
      </c>
      <c r="C19" s="49" t="s">
        <v>58</v>
      </c>
      <c r="D19" s="39" t="s">
        <v>59</v>
      </c>
      <c r="E19" s="46" t="s">
        <v>225</v>
      </c>
      <c r="F19" s="39" t="s">
        <v>34</v>
      </c>
      <c r="G19" s="39" t="s">
        <v>40</v>
      </c>
      <c r="H19" s="39" t="s">
        <v>41</v>
      </c>
      <c r="I19" s="10">
        <v>43971</v>
      </c>
      <c r="J19" s="53"/>
      <c r="K19" s="43">
        <v>10</v>
      </c>
      <c r="L19" s="47" t="s">
        <v>337</v>
      </c>
      <c r="M19" s="43" t="s">
        <v>338</v>
      </c>
      <c r="N19" s="44">
        <v>0</v>
      </c>
      <c r="O19" s="67">
        <v>0</v>
      </c>
      <c r="P19" s="70">
        <v>0</v>
      </c>
      <c r="Q19" s="71">
        <v>0</v>
      </c>
      <c r="R19" s="71">
        <v>0</v>
      </c>
      <c r="S19" s="72">
        <v>0</v>
      </c>
      <c r="T19" s="67">
        <v>0</v>
      </c>
      <c r="U19" s="42" t="s">
        <v>339</v>
      </c>
      <c r="V19" s="42" t="s">
        <v>339</v>
      </c>
      <c r="W19" s="42" t="s">
        <v>339</v>
      </c>
      <c r="X19" s="45">
        <v>0</v>
      </c>
      <c r="AA19" s="34" t="e">
        <v>#VALUE!</v>
      </c>
      <c r="AI19" s="30">
        <v>0</v>
      </c>
    </row>
    <row r="20" spans="2:35" s="29" customFormat="1" ht="33" customHeight="1">
      <c r="B20" s="50">
        <v>2020</v>
      </c>
      <c r="C20" s="49" t="s">
        <v>61</v>
      </c>
      <c r="D20" s="49" t="s">
        <v>62</v>
      </c>
      <c r="E20" s="46" t="s">
        <v>227</v>
      </c>
      <c r="F20" s="49" t="s">
        <v>63</v>
      </c>
      <c r="G20" s="39" t="s">
        <v>40</v>
      </c>
      <c r="H20" s="39" t="s">
        <v>41</v>
      </c>
      <c r="I20" s="10">
        <v>44014</v>
      </c>
      <c r="J20" s="53"/>
      <c r="K20" s="43">
        <v>4</v>
      </c>
      <c r="L20" s="47" t="s">
        <v>337</v>
      </c>
      <c r="M20" s="43" t="s">
        <v>338</v>
      </c>
      <c r="N20" s="44">
        <v>0</v>
      </c>
      <c r="O20" s="67">
        <v>0</v>
      </c>
      <c r="P20" s="70">
        <v>0</v>
      </c>
      <c r="Q20" s="71">
        <v>0</v>
      </c>
      <c r="R20" s="71">
        <v>0</v>
      </c>
      <c r="S20" s="72">
        <v>0</v>
      </c>
      <c r="T20" s="67">
        <v>0</v>
      </c>
      <c r="U20" s="42" t="s">
        <v>339</v>
      </c>
      <c r="V20" s="42" t="s">
        <v>339</v>
      </c>
      <c r="W20" s="42" t="s">
        <v>339</v>
      </c>
      <c r="X20" s="45">
        <v>0</v>
      </c>
      <c r="AI20" s="30">
        <v>0</v>
      </c>
    </row>
    <row r="21" spans="2:35" s="29" customFormat="1" ht="33" customHeight="1">
      <c r="B21" s="50">
        <v>2020</v>
      </c>
      <c r="C21" s="49" t="s">
        <v>68</v>
      </c>
      <c r="D21" s="49" t="s">
        <v>69</v>
      </c>
      <c r="E21" s="39" t="s">
        <v>229</v>
      </c>
      <c r="F21" s="49" t="s">
        <v>70</v>
      </c>
      <c r="G21" s="39" t="s">
        <v>11</v>
      </c>
      <c r="H21" s="39" t="s">
        <v>71</v>
      </c>
      <c r="I21" s="75">
        <v>44028</v>
      </c>
      <c r="J21" s="53"/>
      <c r="K21" s="8">
        <v>4</v>
      </c>
      <c r="L21" s="6" t="s">
        <v>336</v>
      </c>
      <c r="M21" s="8">
        <v>3</v>
      </c>
      <c r="N21" s="9">
        <v>45229</v>
      </c>
      <c r="O21" s="6">
        <v>16</v>
      </c>
      <c r="P21" s="115">
        <v>6</v>
      </c>
      <c r="Q21" s="116">
        <v>9</v>
      </c>
      <c r="R21" s="116">
        <v>1</v>
      </c>
      <c r="S21" s="117">
        <v>0</v>
      </c>
      <c r="T21" s="14">
        <v>0</v>
      </c>
      <c r="U21" s="42">
        <v>0.375</v>
      </c>
      <c r="V21" s="42">
        <v>0.5625</v>
      </c>
      <c r="W21" s="42">
        <v>6.25E-2</v>
      </c>
      <c r="X21" s="45">
        <v>0</v>
      </c>
      <c r="AI21" s="30">
        <v>16</v>
      </c>
    </row>
    <row r="22" spans="2:35" s="29" customFormat="1" ht="33" customHeight="1">
      <c r="B22" s="50">
        <v>2020</v>
      </c>
      <c r="C22" s="49" t="s">
        <v>64</v>
      </c>
      <c r="D22" s="49" t="s">
        <v>65</v>
      </c>
      <c r="E22" s="39" t="s">
        <v>228</v>
      </c>
      <c r="F22" s="49" t="s">
        <v>66</v>
      </c>
      <c r="G22" s="39" t="s">
        <v>82</v>
      </c>
      <c r="H22" s="39" t="s">
        <v>67</v>
      </c>
      <c r="I22" s="75">
        <v>44039</v>
      </c>
      <c r="J22" s="53"/>
      <c r="K22" s="8">
        <v>12</v>
      </c>
      <c r="L22" s="6" t="s">
        <v>336</v>
      </c>
      <c r="M22" s="8">
        <v>2</v>
      </c>
      <c r="N22" s="9">
        <v>44655</v>
      </c>
      <c r="O22" s="6">
        <v>4</v>
      </c>
      <c r="P22" s="115">
        <v>4</v>
      </c>
      <c r="Q22" s="116">
        <v>0</v>
      </c>
      <c r="R22" s="116">
        <v>0</v>
      </c>
      <c r="S22" s="117">
        <v>0</v>
      </c>
      <c r="T22" s="14">
        <v>12</v>
      </c>
      <c r="U22" s="42">
        <v>1</v>
      </c>
      <c r="V22" s="42">
        <v>0</v>
      </c>
      <c r="W22" s="42">
        <v>0</v>
      </c>
      <c r="X22" s="45">
        <v>1</v>
      </c>
    </row>
    <row r="23" spans="2:35" s="29" customFormat="1" ht="33" customHeight="1">
      <c r="B23" s="50">
        <v>2020</v>
      </c>
      <c r="C23" s="49" t="s">
        <v>72</v>
      </c>
      <c r="D23" s="49" t="s">
        <v>190</v>
      </c>
      <c r="E23" s="46" t="s">
        <v>241</v>
      </c>
      <c r="F23" s="49" t="s">
        <v>15</v>
      </c>
      <c r="G23" s="39" t="s">
        <v>11</v>
      </c>
      <c r="H23" s="39" t="s">
        <v>19</v>
      </c>
      <c r="I23" s="75">
        <v>44081</v>
      </c>
      <c r="J23" s="53"/>
      <c r="K23" s="43">
        <v>1</v>
      </c>
      <c r="L23" s="6" t="s">
        <v>337</v>
      </c>
      <c r="M23" s="8" t="s">
        <v>338</v>
      </c>
      <c r="N23" s="9">
        <v>0</v>
      </c>
      <c r="O23" s="6">
        <v>0</v>
      </c>
      <c r="P23" s="115">
        <v>0</v>
      </c>
      <c r="Q23" s="116">
        <v>0</v>
      </c>
      <c r="R23" s="116">
        <v>0</v>
      </c>
      <c r="S23" s="117">
        <v>0</v>
      </c>
      <c r="T23" s="14">
        <v>0</v>
      </c>
      <c r="U23" s="42" t="s">
        <v>339</v>
      </c>
      <c r="V23" s="42" t="s">
        <v>339</v>
      </c>
      <c r="W23" s="42" t="s">
        <v>339</v>
      </c>
      <c r="X23" s="45">
        <v>0</v>
      </c>
      <c r="AA23" s="29" t="e">
        <v>#REF!</v>
      </c>
      <c r="AI23" s="30">
        <v>0</v>
      </c>
    </row>
    <row r="24" spans="2:35" s="29" customFormat="1" ht="33" customHeight="1" thickBot="1">
      <c r="B24" s="50">
        <v>2020</v>
      </c>
      <c r="C24" s="49" t="s">
        <v>80</v>
      </c>
      <c r="D24" s="49" t="s">
        <v>81</v>
      </c>
      <c r="E24" s="46" t="s">
        <v>239</v>
      </c>
      <c r="F24" s="49" t="s">
        <v>34</v>
      </c>
      <c r="G24" s="39" t="s">
        <v>82</v>
      </c>
      <c r="H24" s="39" t="s">
        <v>67</v>
      </c>
      <c r="I24" s="75">
        <v>44085</v>
      </c>
      <c r="J24" s="53"/>
      <c r="K24" s="8">
        <v>12</v>
      </c>
      <c r="L24" s="6" t="s">
        <v>336</v>
      </c>
      <c r="M24" s="8">
        <v>1</v>
      </c>
      <c r="N24" s="9">
        <v>44720</v>
      </c>
      <c r="O24" s="6">
        <v>14</v>
      </c>
      <c r="P24" s="115">
        <v>0</v>
      </c>
      <c r="Q24" s="116">
        <v>5</v>
      </c>
      <c r="R24" s="116">
        <v>9</v>
      </c>
      <c r="S24" s="117">
        <v>0</v>
      </c>
      <c r="T24" s="14">
        <v>0</v>
      </c>
      <c r="U24" s="42">
        <v>0</v>
      </c>
      <c r="V24" s="42">
        <v>0.35714285714285715</v>
      </c>
      <c r="W24" s="42">
        <v>0.6428571428571429</v>
      </c>
      <c r="X24" s="45">
        <v>0</v>
      </c>
      <c r="AI24" s="30">
        <v>14</v>
      </c>
    </row>
    <row r="25" spans="2:35" s="29" customFormat="1" ht="33" customHeight="1" thickBot="1">
      <c r="B25" s="50">
        <v>2020</v>
      </c>
      <c r="C25" s="49" t="s">
        <v>29</v>
      </c>
      <c r="D25" s="49" t="s">
        <v>74</v>
      </c>
      <c r="E25" s="48" t="s">
        <v>233</v>
      </c>
      <c r="F25" s="49" t="s">
        <v>10</v>
      </c>
      <c r="G25" s="39" t="s">
        <v>11</v>
      </c>
      <c r="H25" s="39" t="s">
        <v>31</v>
      </c>
      <c r="I25" s="75">
        <v>44098</v>
      </c>
      <c r="J25" s="53"/>
      <c r="K25" s="8">
        <v>4</v>
      </c>
      <c r="L25" s="6" t="s">
        <v>337</v>
      </c>
      <c r="M25" s="8" t="s">
        <v>338</v>
      </c>
      <c r="N25" s="9">
        <v>0</v>
      </c>
      <c r="O25" s="6">
        <v>0</v>
      </c>
      <c r="P25" s="115">
        <v>0</v>
      </c>
      <c r="Q25" s="116">
        <v>0</v>
      </c>
      <c r="R25" s="116">
        <v>0</v>
      </c>
      <c r="S25" s="117">
        <v>0</v>
      </c>
      <c r="T25" s="14">
        <v>0</v>
      </c>
      <c r="U25" s="42" t="s">
        <v>339</v>
      </c>
      <c r="V25" s="42" t="s">
        <v>339</v>
      </c>
      <c r="W25" s="42" t="s">
        <v>339</v>
      </c>
      <c r="X25" s="45">
        <v>0</v>
      </c>
      <c r="AA25" s="35" t="e">
        <v>#VALUE!</v>
      </c>
      <c r="AB25" s="35" t="e">
        <v>#VALUE!</v>
      </c>
      <c r="AI25" s="30">
        <v>0</v>
      </c>
    </row>
    <row r="26" spans="2:35" s="29" customFormat="1" ht="33" customHeight="1">
      <c r="B26" s="50">
        <v>2020</v>
      </c>
      <c r="C26" s="49" t="s">
        <v>20</v>
      </c>
      <c r="D26" s="49" t="s">
        <v>75</v>
      </c>
      <c r="E26" s="48" t="s">
        <v>234</v>
      </c>
      <c r="F26" s="49" t="s">
        <v>70</v>
      </c>
      <c r="G26" s="39" t="s">
        <v>11</v>
      </c>
      <c r="H26" s="39" t="s">
        <v>22</v>
      </c>
      <c r="I26" s="75">
        <v>44124</v>
      </c>
      <c r="J26" s="53"/>
      <c r="K26" s="8">
        <v>4</v>
      </c>
      <c r="L26" s="6" t="s">
        <v>336</v>
      </c>
      <c r="M26" s="8">
        <v>2</v>
      </c>
      <c r="N26" s="9">
        <v>45226</v>
      </c>
      <c r="O26" s="6">
        <v>5</v>
      </c>
      <c r="P26" s="115">
        <v>0</v>
      </c>
      <c r="Q26" s="116">
        <v>4</v>
      </c>
      <c r="R26" s="116">
        <v>1</v>
      </c>
      <c r="S26" s="117">
        <v>0</v>
      </c>
      <c r="T26" s="14">
        <v>0</v>
      </c>
      <c r="U26" s="42">
        <v>0</v>
      </c>
      <c r="V26" s="42">
        <v>0.8</v>
      </c>
      <c r="W26" s="42">
        <v>0.2</v>
      </c>
      <c r="X26" s="45">
        <v>0</v>
      </c>
      <c r="AA26" s="36" t="s">
        <v>235</v>
      </c>
      <c r="AI26" s="30">
        <v>5</v>
      </c>
    </row>
    <row r="27" spans="2:35" s="29" customFormat="1" ht="33" customHeight="1">
      <c r="B27" s="50">
        <v>2020</v>
      </c>
      <c r="C27" s="49" t="s">
        <v>42</v>
      </c>
      <c r="D27" s="49" t="s">
        <v>77</v>
      </c>
      <c r="E27" s="39" t="s">
        <v>237</v>
      </c>
      <c r="F27" s="49" t="s">
        <v>34</v>
      </c>
      <c r="G27" s="39" t="s">
        <v>45</v>
      </c>
      <c r="H27" s="39" t="s">
        <v>46</v>
      </c>
      <c r="I27" s="10">
        <v>44124</v>
      </c>
      <c r="J27" s="53"/>
      <c r="K27" s="43">
        <v>6</v>
      </c>
      <c r="L27" s="47" t="s">
        <v>337</v>
      </c>
      <c r="M27" s="43" t="s">
        <v>338</v>
      </c>
      <c r="N27" s="44">
        <v>0</v>
      </c>
      <c r="O27" s="67">
        <v>0</v>
      </c>
      <c r="P27" s="70">
        <v>0</v>
      </c>
      <c r="Q27" s="71">
        <v>0</v>
      </c>
      <c r="R27" s="71">
        <v>0</v>
      </c>
      <c r="S27" s="72">
        <v>0</v>
      </c>
      <c r="T27" s="67">
        <v>0</v>
      </c>
      <c r="U27" s="42" t="s">
        <v>339</v>
      </c>
      <c r="V27" s="42" t="s">
        <v>339</v>
      </c>
      <c r="W27" s="42" t="s">
        <v>339</v>
      </c>
      <c r="X27" s="45">
        <v>0</v>
      </c>
      <c r="AI27" s="30">
        <v>0</v>
      </c>
    </row>
    <row r="28" spans="2:35" s="29" customFormat="1" ht="33" customHeight="1">
      <c r="B28" s="50">
        <v>2020</v>
      </c>
      <c r="C28" s="49" t="s">
        <v>78</v>
      </c>
      <c r="D28" s="49" t="s">
        <v>79</v>
      </c>
      <c r="E28" s="46" t="s">
        <v>238</v>
      </c>
      <c r="F28" s="49" t="s">
        <v>34</v>
      </c>
      <c r="G28" s="39" t="s">
        <v>45</v>
      </c>
      <c r="H28" s="39" t="s">
        <v>46</v>
      </c>
      <c r="I28" s="10">
        <v>44124</v>
      </c>
      <c r="J28" s="53"/>
      <c r="K28" s="43">
        <v>2</v>
      </c>
      <c r="L28" s="47" t="s">
        <v>337</v>
      </c>
      <c r="M28" s="43" t="s">
        <v>338</v>
      </c>
      <c r="N28" s="44">
        <v>0</v>
      </c>
      <c r="O28" s="67">
        <v>0</v>
      </c>
      <c r="P28" s="70">
        <v>0</v>
      </c>
      <c r="Q28" s="71">
        <v>0</v>
      </c>
      <c r="R28" s="71">
        <v>0</v>
      </c>
      <c r="S28" s="72">
        <v>0</v>
      </c>
      <c r="T28" s="67">
        <v>0</v>
      </c>
      <c r="U28" s="42" t="s">
        <v>339</v>
      </c>
      <c r="V28" s="42" t="s">
        <v>339</v>
      </c>
      <c r="W28" s="42" t="s">
        <v>339</v>
      </c>
      <c r="X28" s="45">
        <v>0</v>
      </c>
      <c r="AA28" s="29" t="s">
        <v>209</v>
      </c>
      <c r="AD28" s="29" t="e">
        <v>#DIV/0!</v>
      </c>
    </row>
    <row r="29" spans="2:35" s="29" customFormat="1" ht="33" customHeight="1">
      <c r="B29" s="50">
        <v>2020</v>
      </c>
      <c r="C29" s="49" t="s">
        <v>9</v>
      </c>
      <c r="D29" s="49" t="s">
        <v>76</v>
      </c>
      <c r="E29" s="46" t="s">
        <v>236</v>
      </c>
      <c r="F29" s="49" t="s">
        <v>10</v>
      </c>
      <c r="G29" s="39" t="s">
        <v>11</v>
      </c>
      <c r="H29" s="39" t="s">
        <v>12</v>
      </c>
      <c r="I29" s="75">
        <v>44133</v>
      </c>
      <c r="J29" s="53"/>
      <c r="K29" s="43">
        <v>4</v>
      </c>
      <c r="L29" s="47" t="s">
        <v>336</v>
      </c>
      <c r="M29" s="67">
        <v>1</v>
      </c>
      <c r="N29" s="44">
        <v>45231</v>
      </c>
      <c r="O29" s="67">
        <v>4</v>
      </c>
      <c r="P29" s="70">
        <v>0</v>
      </c>
      <c r="Q29" s="71">
        <v>0</v>
      </c>
      <c r="R29" s="71">
        <v>4</v>
      </c>
      <c r="S29" s="72">
        <v>0</v>
      </c>
      <c r="T29" s="67">
        <v>0</v>
      </c>
      <c r="U29" s="42">
        <v>0</v>
      </c>
      <c r="V29" s="42">
        <v>0</v>
      </c>
      <c r="W29" s="42">
        <v>1</v>
      </c>
      <c r="X29" s="45">
        <v>0</v>
      </c>
      <c r="AA29" s="34" t="e">
        <v>#VALUE!</v>
      </c>
      <c r="AI29" s="30">
        <v>4</v>
      </c>
    </row>
    <row r="30" spans="2:35" s="29" customFormat="1" ht="33" customHeight="1">
      <c r="B30" s="50">
        <v>2020</v>
      </c>
      <c r="C30" s="49" t="s">
        <v>23</v>
      </c>
      <c r="D30" s="49" t="s">
        <v>73</v>
      </c>
      <c r="E30" s="46" t="s">
        <v>232</v>
      </c>
      <c r="F30" s="49" t="s">
        <v>70</v>
      </c>
      <c r="G30" s="39" t="s">
        <v>11</v>
      </c>
      <c r="H30" s="39" t="s">
        <v>25</v>
      </c>
      <c r="I30" s="75">
        <v>44141</v>
      </c>
      <c r="J30" s="53"/>
      <c r="K30" s="8">
        <v>4</v>
      </c>
      <c r="L30" s="6" t="s">
        <v>336</v>
      </c>
      <c r="M30" s="8">
        <v>2</v>
      </c>
      <c r="N30" s="9">
        <v>45229</v>
      </c>
      <c r="O30" s="6">
        <v>5</v>
      </c>
      <c r="P30" s="115">
        <v>0</v>
      </c>
      <c r="Q30" s="116">
        <v>5</v>
      </c>
      <c r="R30" s="116">
        <v>0</v>
      </c>
      <c r="S30" s="117">
        <v>0</v>
      </c>
      <c r="T30" s="14">
        <v>0</v>
      </c>
      <c r="U30" s="42">
        <v>0</v>
      </c>
      <c r="V30" s="42">
        <v>1</v>
      </c>
      <c r="W30" s="42">
        <v>0</v>
      </c>
      <c r="X30" s="45">
        <v>0</v>
      </c>
      <c r="AI30" s="30">
        <v>5</v>
      </c>
    </row>
    <row r="31" spans="2:35" s="29" customFormat="1" ht="33" customHeight="1">
      <c r="B31" s="50">
        <v>2020</v>
      </c>
      <c r="C31" s="49" t="s">
        <v>17</v>
      </c>
      <c r="D31" s="49" t="s">
        <v>86</v>
      </c>
      <c r="E31" s="46" t="s">
        <v>252</v>
      </c>
      <c r="F31" s="49" t="s">
        <v>70</v>
      </c>
      <c r="G31" s="39" t="s">
        <v>11</v>
      </c>
      <c r="H31" s="39" t="s">
        <v>19</v>
      </c>
      <c r="I31" s="75">
        <v>44161</v>
      </c>
      <c r="J31" s="53"/>
      <c r="K31" s="43">
        <v>3</v>
      </c>
      <c r="L31" s="6" t="s">
        <v>337</v>
      </c>
      <c r="M31" s="8" t="s">
        <v>338</v>
      </c>
      <c r="N31" s="9">
        <v>0</v>
      </c>
      <c r="O31" s="6">
        <v>0</v>
      </c>
      <c r="P31" s="115">
        <v>0</v>
      </c>
      <c r="Q31" s="116">
        <v>0</v>
      </c>
      <c r="R31" s="116">
        <v>0</v>
      </c>
      <c r="S31" s="117">
        <v>0</v>
      </c>
      <c r="T31" s="14">
        <v>0</v>
      </c>
      <c r="U31" s="42" t="s">
        <v>339</v>
      </c>
      <c r="V31" s="42" t="s">
        <v>339</v>
      </c>
      <c r="W31" s="42" t="s">
        <v>339</v>
      </c>
      <c r="X31" s="45">
        <v>0</v>
      </c>
      <c r="AA31" s="37" t="s">
        <v>242</v>
      </c>
      <c r="AI31" s="30">
        <v>0</v>
      </c>
    </row>
    <row r="32" spans="2:35" s="29" customFormat="1" ht="33" customHeight="1">
      <c r="B32" s="50">
        <v>2020</v>
      </c>
      <c r="C32" s="49" t="s">
        <v>83</v>
      </c>
      <c r="D32" s="49" t="s">
        <v>84</v>
      </c>
      <c r="E32" s="46" t="s">
        <v>240</v>
      </c>
      <c r="F32" s="49" t="s">
        <v>10</v>
      </c>
      <c r="G32" s="39" t="s">
        <v>11</v>
      </c>
      <c r="H32" s="39" t="s">
        <v>85</v>
      </c>
      <c r="I32" s="75">
        <v>44165</v>
      </c>
      <c r="J32" s="53"/>
      <c r="K32" s="8">
        <v>6</v>
      </c>
      <c r="L32" s="6" t="s">
        <v>336</v>
      </c>
      <c r="M32" s="8">
        <v>4</v>
      </c>
      <c r="N32" s="9">
        <v>45226</v>
      </c>
      <c r="O32" s="6">
        <v>5</v>
      </c>
      <c r="P32" s="115">
        <v>4</v>
      </c>
      <c r="Q32" s="116">
        <v>1</v>
      </c>
      <c r="R32" s="116">
        <v>0</v>
      </c>
      <c r="S32" s="117">
        <v>0</v>
      </c>
      <c r="T32" s="14">
        <v>4</v>
      </c>
      <c r="U32" s="42">
        <v>0.8</v>
      </c>
      <c r="V32" s="42">
        <v>0.2</v>
      </c>
      <c r="W32" s="42">
        <v>0</v>
      </c>
      <c r="X32" s="45">
        <v>0.66666666666666663</v>
      </c>
      <c r="AI32" s="30">
        <v>5</v>
      </c>
    </row>
    <row r="33" spans="2:35" s="29" customFormat="1" ht="33" customHeight="1">
      <c r="B33" s="50">
        <v>2020</v>
      </c>
      <c r="C33" s="49" t="s">
        <v>32</v>
      </c>
      <c r="D33" s="49" t="s">
        <v>33</v>
      </c>
      <c r="E33" s="46" t="s">
        <v>231</v>
      </c>
      <c r="F33" s="49" t="s">
        <v>34</v>
      </c>
      <c r="G33" s="39" t="s">
        <v>35</v>
      </c>
      <c r="H33" s="39" t="s">
        <v>36</v>
      </c>
      <c r="I33" s="10">
        <v>44187</v>
      </c>
      <c r="J33" s="53"/>
      <c r="K33" s="43">
        <v>14</v>
      </c>
      <c r="L33" s="47" t="s">
        <v>337</v>
      </c>
      <c r="M33" s="67" t="s">
        <v>338</v>
      </c>
      <c r="N33" s="44">
        <v>0</v>
      </c>
      <c r="O33" s="67">
        <v>0</v>
      </c>
      <c r="P33" s="70">
        <v>0</v>
      </c>
      <c r="Q33" s="71">
        <v>0</v>
      </c>
      <c r="R33" s="71">
        <v>0</v>
      </c>
      <c r="S33" s="72">
        <v>0</v>
      </c>
      <c r="T33" s="67">
        <v>0</v>
      </c>
      <c r="U33" s="42" t="s">
        <v>339</v>
      </c>
      <c r="V33" s="42" t="s">
        <v>339</v>
      </c>
      <c r="W33" s="42" t="s">
        <v>339</v>
      </c>
      <c r="X33" s="45">
        <v>0</v>
      </c>
      <c r="AI33" s="30">
        <v>0</v>
      </c>
    </row>
    <row r="34" spans="2:35" s="29" customFormat="1" ht="33" customHeight="1">
      <c r="B34" s="50">
        <v>2021</v>
      </c>
      <c r="C34" s="49" t="s">
        <v>87</v>
      </c>
      <c r="D34" s="49" t="s">
        <v>87</v>
      </c>
      <c r="E34" s="46" t="s">
        <v>243</v>
      </c>
      <c r="F34" s="49" t="s">
        <v>70</v>
      </c>
      <c r="G34" s="39" t="s">
        <v>82</v>
      </c>
      <c r="H34" s="39" t="s">
        <v>67</v>
      </c>
      <c r="I34" s="75">
        <v>44267</v>
      </c>
      <c r="J34" s="53"/>
      <c r="K34" s="8">
        <v>2</v>
      </c>
      <c r="L34" s="6" t="s">
        <v>336</v>
      </c>
      <c r="M34" s="8">
        <v>0</v>
      </c>
      <c r="N34" s="9">
        <v>0</v>
      </c>
      <c r="O34" s="6">
        <v>2</v>
      </c>
      <c r="P34" s="115">
        <v>0</v>
      </c>
      <c r="Q34" s="116">
        <v>0</v>
      </c>
      <c r="R34" s="116">
        <v>0</v>
      </c>
      <c r="S34" s="117">
        <v>2</v>
      </c>
      <c r="T34" s="14">
        <v>0</v>
      </c>
      <c r="U34" s="42" t="s">
        <v>339</v>
      </c>
      <c r="V34" s="42" t="s">
        <v>339</v>
      </c>
      <c r="W34" s="42" t="s">
        <v>339</v>
      </c>
      <c r="X34" s="45">
        <v>0</v>
      </c>
      <c r="AI34" s="30">
        <v>2</v>
      </c>
    </row>
    <row r="35" spans="2:35" s="29" customFormat="1" ht="33" customHeight="1">
      <c r="B35" s="50">
        <v>2021</v>
      </c>
      <c r="C35" s="49" t="s">
        <v>88</v>
      </c>
      <c r="D35" s="49" t="s">
        <v>53</v>
      </c>
      <c r="E35" s="46" t="s">
        <v>244</v>
      </c>
      <c r="F35" s="49" t="s">
        <v>10</v>
      </c>
      <c r="G35" s="39" t="s">
        <v>54</v>
      </c>
      <c r="H35" s="39" t="s">
        <v>55</v>
      </c>
      <c r="I35" s="75">
        <v>44292</v>
      </c>
      <c r="J35" s="53"/>
      <c r="K35" s="67">
        <v>4</v>
      </c>
      <c r="L35" s="69" t="s">
        <v>336</v>
      </c>
      <c r="M35" s="67">
        <v>0</v>
      </c>
      <c r="N35" s="68">
        <v>0</v>
      </c>
      <c r="O35" s="67">
        <v>15</v>
      </c>
      <c r="P35" s="70">
        <v>0</v>
      </c>
      <c r="Q35" s="71">
        <v>0</v>
      </c>
      <c r="R35" s="71">
        <v>0</v>
      </c>
      <c r="S35" s="72">
        <v>15</v>
      </c>
      <c r="T35" s="67">
        <v>0</v>
      </c>
      <c r="U35" s="42" t="s">
        <v>339</v>
      </c>
      <c r="V35" s="42" t="s">
        <v>339</v>
      </c>
      <c r="W35" s="42" t="s">
        <v>339</v>
      </c>
      <c r="X35" s="45">
        <v>0</v>
      </c>
      <c r="AA35" s="34" t="e">
        <v>#VALUE!</v>
      </c>
      <c r="AI35" s="30">
        <v>15</v>
      </c>
    </row>
    <row r="36" spans="2:35" s="29" customFormat="1" ht="33" customHeight="1">
      <c r="B36" s="50">
        <v>2021</v>
      </c>
      <c r="C36" s="49" t="s">
        <v>89</v>
      </c>
      <c r="D36" s="49" t="s">
        <v>90</v>
      </c>
      <c r="E36" s="46" t="s">
        <v>245</v>
      </c>
      <c r="F36" s="49" t="s">
        <v>70</v>
      </c>
      <c r="G36" s="39" t="s">
        <v>45</v>
      </c>
      <c r="H36" s="39" t="s">
        <v>46</v>
      </c>
      <c r="I36" s="10">
        <v>44334</v>
      </c>
      <c r="J36" s="53"/>
      <c r="K36" s="43">
        <v>3</v>
      </c>
      <c r="L36" s="47" t="s">
        <v>337</v>
      </c>
      <c r="M36" s="43" t="s">
        <v>338</v>
      </c>
      <c r="N36" s="44">
        <v>0</v>
      </c>
      <c r="O36" s="67">
        <v>0</v>
      </c>
      <c r="P36" s="70">
        <v>0</v>
      </c>
      <c r="Q36" s="71">
        <v>0</v>
      </c>
      <c r="R36" s="71">
        <v>0</v>
      </c>
      <c r="S36" s="72">
        <v>0</v>
      </c>
      <c r="T36" s="67">
        <v>0</v>
      </c>
      <c r="U36" s="42" t="s">
        <v>339</v>
      </c>
      <c r="V36" s="42" t="s">
        <v>339</v>
      </c>
      <c r="W36" s="42" t="s">
        <v>339</v>
      </c>
      <c r="X36" s="45">
        <v>0</v>
      </c>
      <c r="AA36" s="34" t="e">
        <v>#VALUE!</v>
      </c>
    </row>
    <row r="37" spans="2:35" s="29" customFormat="1" ht="33" customHeight="1">
      <c r="B37" s="50">
        <v>2021</v>
      </c>
      <c r="C37" s="49" t="s">
        <v>324</v>
      </c>
      <c r="D37" s="49" t="s">
        <v>91</v>
      </c>
      <c r="E37" s="46" t="s">
        <v>246</v>
      </c>
      <c r="F37" s="49" t="s">
        <v>10</v>
      </c>
      <c r="G37" s="39" t="s">
        <v>40</v>
      </c>
      <c r="H37" s="39" t="s">
        <v>41</v>
      </c>
      <c r="I37" s="10">
        <v>44342</v>
      </c>
      <c r="J37" s="53"/>
      <c r="K37" s="43">
        <v>5</v>
      </c>
      <c r="L37" s="47" t="s">
        <v>336</v>
      </c>
      <c r="M37" s="43">
        <v>0</v>
      </c>
      <c r="N37" s="44">
        <v>0</v>
      </c>
      <c r="O37" s="67">
        <v>20</v>
      </c>
      <c r="P37" s="70">
        <v>0</v>
      </c>
      <c r="Q37" s="71">
        <v>0</v>
      </c>
      <c r="R37" s="71">
        <v>0</v>
      </c>
      <c r="S37" s="72">
        <v>20</v>
      </c>
      <c r="T37" s="67">
        <v>0</v>
      </c>
      <c r="U37" s="42" t="s">
        <v>339</v>
      </c>
      <c r="V37" s="42" t="s">
        <v>339</v>
      </c>
      <c r="W37" s="42" t="s">
        <v>339</v>
      </c>
      <c r="X37" s="45">
        <v>0</v>
      </c>
      <c r="AI37" s="30">
        <v>20</v>
      </c>
    </row>
    <row r="38" spans="2:35" s="29" customFormat="1" ht="33" customHeight="1">
      <c r="B38" s="50">
        <v>2021</v>
      </c>
      <c r="C38" s="49" t="s">
        <v>92</v>
      </c>
      <c r="D38" s="49" t="s">
        <v>93</v>
      </c>
      <c r="E38" s="46" t="s">
        <v>247</v>
      </c>
      <c r="F38" s="49" t="s">
        <v>94</v>
      </c>
      <c r="G38" s="39" t="s">
        <v>95</v>
      </c>
      <c r="H38" s="39" t="s">
        <v>92</v>
      </c>
      <c r="I38" s="75">
        <v>44351</v>
      </c>
      <c r="J38" s="53"/>
      <c r="K38" s="43">
        <v>12</v>
      </c>
      <c r="L38" s="47" t="s">
        <v>336</v>
      </c>
      <c r="M38" s="43">
        <v>1</v>
      </c>
      <c r="N38" s="44">
        <v>44594</v>
      </c>
      <c r="O38" s="67">
        <v>17</v>
      </c>
      <c r="P38" s="70">
        <v>12</v>
      </c>
      <c r="Q38" s="71">
        <v>2</v>
      </c>
      <c r="R38" s="71">
        <v>0</v>
      </c>
      <c r="S38" s="72">
        <v>3</v>
      </c>
      <c r="T38" s="67">
        <v>7</v>
      </c>
      <c r="U38" s="42">
        <v>0.8571428571428571</v>
      </c>
      <c r="V38" s="42">
        <v>0.14285714285714285</v>
      </c>
      <c r="W38" s="42">
        <v>0</v>
      </c>
      <c r="X38" s="45">
        <v>0.58333333333333337</v>
      </c>
    </row>
    <row r="39" spans="2:35" s="29" customFormat="1" ht="33" customHeight="1">
      <c r="B39" s="50">
        <v>2021</v>
      </c>
      <c r="C39" s="49" t="s">
        <v>96</v>
      </c>
      <c r="D39" s="49" t="s">
        <v>97</v>
      </c>
      <c r="E39" s="46" t="s">
        <v>248</v>
      </c>
      <c r="F39" s="49" t="s">
        <v>98</v>
      </c>
      <c r="G39" s="39" t="s">
        <v>35</v>
      </c>
      <c r="H39" s="39" t="s">
        <v>36</v>
      </c>
      <c r="I39" s="10">
        <v>44358</v>
      </c>
      <c r="J39" s="53"/>
      <c r="K39" s="43">
        <v>7</v>
      </c>
      <c r="L39" s="47" t="s">
        <v>336</v>
      </c>
      <c r="M39" s="67">
        <v>1</v>
      </c>
      <c r="N39" s="44">
        <v>44718</v>
      </c>
      <c r="O39" s="67">
        <v>10</v>
      </c>
      <c r="P39" s="70">
        <v>1</v>
      </c>
      <c r="Q39" s="71">
        <v>4</v>
      </c>
      <c r="R39" s="71">
        <v>3</v>
      </c>
      <c r="S39" s="72">
        <v>2</v>
      </c>
      <c r="T39" s="67">
        <v>1</v>
      </c>
      <c r="U39" s="42">
        <v>0.125</v>
      </c>
      <c r="V39" s="42">
        <v>0.5</v>
      </c>
      <c r="W39" s="42">
        <v>0.375</v>
      </c>
      <c r="X39" s="45">
        <v>0.14285714285714285</v>
      </c>
      <c r="AI39" s="30">
        <v>10</v>
      </c>
    </row>
    <row r="40" spans="2:35" s="29" customFormat="1" ht="33" customHeight="1">
      <c r="B40" s="50">
        <v>2021</v>
      </c>
      <c r="C40" s="49" t="s">
        <v>100</v>
      </c>
      <c r="D40" s="49" t="s">
        <v>101</v>
      </c>
      <c r="E40" s="46" t="s">
        <v>316</v>
      </c>
      <c r="F40" s="49" t="s">
        <v>63</v>
      </c>
      <c r="G40" s="39" t="s">
        <v>35</v>
      </c>
      <c r="H40" s="39" t="s">
        <v>36</v>
      </c>
      <c r="I40" s="10">
        <v>44377</v>
      </c>
      <c r="J40" s="53"/>
      <c r="K40" s="43">
        <v>9</v>
      </c>
      <c r="L40" s="47" t="s">
        <v>337</v>
      </c>
      <c r="M40" s="67" t="s">
        <v>338</v>
      </c>
      <c r="N40" s="44">
        <v>0</v>
      </c>
      <c r="O40" s="67">
        <v>0</v>
      </c>
      <c r="P40" s="70">
        <v>0</v>
      </c>
      <c r="Q40" s="71">
        <v>0</v>
      </c>
      <c r="R40" s="71">
        <v>0</v>
      </c>
      <c r="S40" s="72">
        <v>0</v>
      </c>
      <c r="T40" s="67">
        <v>0</v>
      </c>
      <c r="U40" s="42" t="s">
        <v>339</v>
      </c>
      <c r="V40" s="42" t="s">
        <v>339</v>
      </c>
      <c r="W40" s="42" t="s">
        <v>339</v>
      </c>
      <c r="X40" s="45">
        <v>0</v>
      </c>
      <c r="AI40" s="30">
        <v>0</v>
      </c>
    </row>
    <row r="41" spans="2:35" s="29" customFormat="1" ht="33" customHeight="1">
      <c r="B41" s="50">
        <v>2021</v>
      </c>
      <c r="C41" s="49" t="s">
        <v>112</v>
      </c>
      <c r="D41" s="49" t="s">
        <v>113</v>
      </c>
      <c r="E41" s="46" t="s">
        <v>254</v>
      </c>
      <c r="F41" s="49" t="s">
        <v>70</v>
      </c>
      <c r="G41" s="39" t="s">
        <v>40</v>
      </c>
      <c r="H41" s="39" t="s">
        <v>41</v>
      </c>
      <c r="I41" s="10">
        <v>44411</v>
      </c>
      <c r="J41" s="53"/>
      <c r="K41" s="43">
        <v>3</v>
      </c>
      <c r="L41" s="47" t="s">
        <v>337</v>
      </c>
      <c r="M41" s="43" t="s">
        <v>338</v>
      </c>
      <c r="N41" s="44">
        <v>0</v>
      </c>
      <c r="O41" s="67">
        <v>0</v>
      </c>
      <c r="P41" s="70">
        <v>0</v>
      </c>
      <c r="Q41" s="71">
        <v>0</v>
      </c>
      <c r="R41" s="71">
        <v>0</v>
      </c>
      <c r="S41" s="72">
        <v>0</v>
      </c>
      <c r="T41" s="67">
        <v>0</v>
      </c>
      <c r="U41" s="42" t="s">
        <v>339</v>
      </c>
      <c r="V41" s="42" t="s">
        <v>339</v>
      </c>
      <c r="W41" s="42" t="s">
        <v>339</v>
      </c>
      <c r="X41" s="45">
        <v>0</v>
      </c>
      <c r="AI41" s="30">
        <v>0</v>
      </c>
    </row>
    <row r="42" spans="2:35" s="29" customFormat="1" ht="33" customHeight="1">
      <c r="B42" s="50">
        <v>2021</v>
      </c>
      <c r="C42" s="49" t="s">
        <v>108</v>
      </c>
      <c r="D42" s="49" t="s">
        <v>109</v>
      </c>
      <c r="E42" s="46" t="s">
        <v>257</v>
      </c>
      <c r="F42" s="49" t="s">
        <v>10</v>
      </c>
      <c r="G42" s="39" t="s">
        <v>11</v>
      </c>
      <c r="H42" s="39" t="s">
        <v>19</v>
      </c>
      <c r="I42" s="75">
        <v>44420</v>
      </c>
      <c r="J42" s="53"/>
      <c r="K42" s="43">
        <v>3</v>
      </c>
      <c r="L42" s="6" t="s">
        <v>336</v>
      </c>
      <c r="M42" s="8">
        <v>1</v>
      </c>
      <c r="N42" s="9">
        <v>44736</v>
      </c>
      <c r="O42" s="6">
        <v>4</v>
      </c>
      <c r="P42" s="115">
        <v>0</v>
      </c>
      <c r="Q42" s="116">
        <v>3</v>
      </c>
      <c r="R42" s="116">
        <v>1</v>
      </c>
      <c r="S42" s="117">
        <v>0</v>
      </c>
      <c r="T42" s="14">
        <v>0</v>
      </c>
      <c r="U42" s="42">
        <v>0</v>
      </c>
      <c r="V42" s="42">
        <v>0.75</v>
      </c>
      <c r="W42" s="42">
        <v>0.25</v>
      </c>
      <c r="X42" s="45">
        <v>0</v>
      </c>
      <c r="AA42" s="31" t="s">
        <v>214</v>
      </c>
      <c r="AI42" s="30">
        <v>4</v>
      </c>
    </row>
    <row r="43" spans="2:35" s="29" customFormat="1" ht="33" customHeight="1">
      <c r="B43" s="50">
        <v>2021</v>
      </c>
      <c r="C43" s="49" t="s">
        <v>102</v>
      </c>
      <c r="D43" s="49" t="s">
        <v>103</v>
      </c>
      <c r="E43" s="46" t="s">
        <v>250</v>
      </c>
      <c r="F43" s="49" t="s">
        <v>104</v>
      </c>
      <c r="G43" s="39" t="s">
        <v>105</v>
      </c>
      <c r="H43" s="39" t="s">
        <v>106</v>
      </c>
      <c r="I43" s="76">
        <v>44445</v>
      </c>
      <c r="J43" s="53"/>
      <c r="K43" s="8">
        <v>2</v>
      </c>
      <c r="L43" s="6" t="s">
        <v>337</v>
      </c>
      <c r="M43" s="8" t="s">
        <v>338</v>
      </c>
      <c r="N43" s="9">
        <v>0</v>
      </c>
      <c r="O43" s="6">
        <v>0</v>
      </c>
      <c r="P43" s="115">
        <v>0</v>
      </c>
      <c r="Q43" s="116">
        <v>0</v>
      </c>
      <c r="R43" s="116">
        <v>0</v>
      </c>
      <c r="S43" s="117">
        <v>0</v>
      </c>
      <c r="T43" s="14">
        <v>0</v>
      </c>
      <c r="U43" s="42" t="s">
        <v>339</v>
      </c>
      <c r="V43" s="42" t="s">
        <v>339</v>
      </c>
      <c r="W43" s="42" t="s">
        <v>339</v>
      </c>
      <c r="X43" s="45">
        <v>0</v>
      </c>
    </row>
    <row r="44" spans="2:35" s="29" customFormat="1" ht="33" customHeight="1">
      <c r="B44" s="50">
        <v>2021</v>
      </c>
      <c r="C44" s="49" t="s">
        <v>110</v>
      </c>
      <c r="D44" s="49" t="s">
        <v>111</v>
      </c>
      <c r="E44" s="48" t="s">
        <v>253</v>
      </c>
      <c r="F44" s="49" t="s">
        <v>98</v>
      </c>
      <c r="G44" s="39" t="s">
        <v>11</v>
      </c>
      <c r="H44" s="39" t="s">
        <v>31</v>
      </c>
      <c r="I44" s="75">
        <v>44445</v>
      </c>
      <c r="J44" s="53"/>
      <c r="K44" s="8">
        <v>5</v>
      </c>
      <c r="L44" s="6" t="s">
        <v>336</v>
      </c>
      <c r="M44" s="8">
        <v>1</v>
      </c>
      <c r="N44" s="9">
        <v>45237</v>
      </c>
      <c r="O44" s="6">
        <v>9</v>
      </c>
      <c r="P44" s="115">
        <v>6</v>
      </c>
      <c r="Q44" s="116">
        <v>2</v>
      </c>
      <c r="R44" s="116">
        <v>1</v>
      </c>
      <c r="S44" s="117">
        <v>0</v>
      </c>
      <c r="T44" s="14">
        <v>3</v>
      </c>
      <c r="U44" s="42">
        <v>0.66666666666666663</v>
      </c>
      <c r="V44" s="42">
        <v>0.22222222222222221</v>
      </c>
      <c r="W44" s="42">
        <v>0.1111111111111111</v>
      </c>
      <c r="X44" s="45">
        <v>0.6</v>
      </c>
      <c r="AA44" s="38" t="e">
        <v>#DIV/0!</v>
      </c>
      <c r="AI44" s="30">
        <v>9</v>
      </c>
    </row>
    <row r="45" spans="2:35" s="29" customFormat="1" ht="33" customHeight="1">
      <c r="B45" s="50">
        <v>2021</v>
      </c>
      <c r="C45" s="49" t="s">
        <v>107</v>
      </c>
      <c r="D45" s="49" t="s">
        <v>107</v>
      </c>
      <c r="E45" s="46" t="s">
        <v>251</v>
      </c>
      <c r="F45" s="49" t="s">
        <v>70</v>
      </c>
      <c r="G45" s="39" t="s">
        <v>50</v>
      </c>
      <c r="H45" s="39" t="s">
        <v>51</v>
      </c>
      <c r="I45" s="75">
        <v>44456</v>
      </c>
      <c r="J45" s="53"/>
      <c r="K45" s="43">
        <v>3</v>
      </c>
      <c r="L45" s="47" t="s">
        <v>336</v>
      </c>
      <c r="M45" s="67">
        <v>1</v>
      </c>
      <c r="N45" s="68">
        <v>45260</v>
      </c>
      <c r="O45" s="67">
        <v>7</v>
      </c>
      <c r="P45" s="70">
        <v>0</v>
      </c>
      <c r="Q45" s="71">
        <v>0</v>
      </c>
      <c r="R45" s="71">
        <v>7</v>
      </c>
      <c r="S45" s="72">
        <v>0</v>
      </c>
      <c r="T45" s="67">
        <v>0</v>
      </c>
      <c r="U45" s="42">
        <v>0</v>
      </c>
      <c r="V45" s="42">
        <v>0</v>
      </c>
      <c r="W45" s="42">
        <v>1</v>
      </c>
      <c r="X45" s="45">
        <v>0</v>
      </c>
      <c r="AA45" s="34" t="e">
        <v>#VALUE!</v>
      </c>
      <c r="AI45" s="30">
        <v>7</v>
      </c>
    </row>
    <row r="46" spans="2:35" s="29" customFormat="1" ht="33" customHeight="1">
      <c r="B46" s="50">
        <v>2021</v>
      </c>
      <c r="C46" s="49" t="s">
        <v>119</v>
      </c>
      <c r="D46" s="49" t="s">
        <v>119</v>
      </c>
      <c r="E46" s="46" t="s">
        <v>230</v>
      </c>
      <c r="F46" s="49" t="s">
        <v>70</v>
      </c>
      <c r="G46" s="39" t="s">
        <v>11</v>
      </c>
      <c r="H46" s="39" t="s">
        <v>19</v>
      </c>
      <c r="I46" s="75">
        <v>44474</v>
      </c>
      <c r="J46" s="53"/>
      <c r="K46" s="43">
        <v>3</v>
      </c>
      <c r="L46" s="6" t="s">
        <v>337</v>
      </c>
      <c r="M46" s="8" t="s">
        <v>338</v>
      </c>
      <c r="N46" s="9">
        <v>0</v>
      </c>
      <c r="O46" s="6">
        <v>0</v>
      </c>
      <c r="P46" s="115">
        <v>0</v>
      </c>
      <c r="Q46" s="116">
        <v>0</v>
      </c>
      <c r="R46" s="116">
        <v>0</v>
      </c>
      <c r="S46" s="117">
        <v>0</v>
      </c>
      <c r="T46" s="14">
        <v>0</v>
      </c>
      <c r="U46" s="42" t="s">
        <v>339</v>
      </c>
      <c r="V46" s="42" t="s">
        <v>339</v>
      </c>
      <c r="W46" s="42" t="s">
        <v>339</v>
      </c>
      <c r="X46" s="45">
        <v>0</v>
      </c>
      <c r="AA46" s="36" t="s">
        <v>235</v>
      </c>
      <c r="AI46" s="30">
        <v>0</v>
      </c>
    </row>
    <row r="47" spans="2:35" s="29" customFormat="1" ht="33" customHeight="1">
      <c r="B47" s="50">
        <v>2021</v>
      </c>
      <c r="C47" s="49" t="s">
        <v>114</v>
      </c>
      <c r="D47" s="49" t="s">
        <v>115</v>
      </c>
      <c r="E47" s="46" t="s">
        <v>255</v>
      </c>
      <c r="F47" s="49" t="s">
        <v>98</v>
      </c>
      <c r="G47" s="39" t="s">
        <v>40</v>
      </c>
      <c r="H47" s="39" t="s">
        <v>41</v>
      </c>
      <c r="I47" s="10">
        <v>44490</v>
      </c>
      <c r="J47" s="53"/>
      <c r="K47" s="43">
        <v>5</v>
      </c>
      <c r="L47" s="47" t="s">
        <v>337</v>
      </c>
      <c r="M47" s="43" t="s">
        <v>338</v>
      </c>
      <c r="N47" s="44">
        <v>0</v>
      </c>
      <c r="O47" s="67">
        <v>0</v>
      </c>
      <c r="P47" s="70">
        <v>0</v>
      </c>
      <c r="Q47" s="71">
        <v>0</v>
      </c>
      <c r="R47" s="71">
        <v>0</v>
      </c>
      <c r="S47" s="72">
        <v>0</v>
      </c>
      <c r="T47" s="67">
        <v>0</v>
      </c>
      <c r="U47" s="42" t="s">
        <v>339</v>
      </c>
      <c r="V47" s="42" t="s">
        <v>339</v>
      </c>
      <c r="W47" s="42" t="s">
        <v>339</v>
      </c>
      <c r="X47" s="45">
        <v>0</v>
      </c>
      <c r="AI47" s="30">
        <v>0</v>
      </c>
    </row>
    <row r="48" spans="2:35" s="29" customFormat="1" ht="33" customHeight="1">
      <c r="B48" s="50">
        <v>2021</v>
      </c>
      <c r="C48" s="49" t="s">
        <v>99</v>
      </c>
      <c r="D48" s="49" t="s">
        <v>97</v>
      </c>
      <c r="E48" s="46" t="s">
        <v>249</v>
      </c>
      <c r="F48" s="49" t="s">
        <v>98</v>
      </c>
      <c r="G48" s="39" t="s">
        <v>35</v>
      </c>
      <c r="H48" s="39" t="s">
        <v>36</v>
      </c>
      <c r="I48" s="10">
        <v>44498</v>
      </c>
      <c r="J48" s="53"/>
      <c r="K48" s="43">
        <v>6</v>
      </c>
      <c r="L48" s="47" t="s">
        <v>337</v>
      </c>
      <c r="M48" s="67" t="s">
        <v>338</v>
      </c>
      <c r="N48" s="44">
        <v>0</v>
      </c>
      <c r="O48" s="67">
        <v>0</v>
      </c>
      <c r="P48" s="70">
        <v>0</v>
      </c>
      <c r="Q48" s="71">
        <v>0</v>
      </c>
      <c r="R48" s="71">
        <v>0</v>
      </c>
      <c r="S48" s="72">
        <v>0</v>
      </c>
      <c r="T48" s="67">
        <v>0</v>
      </c>
      <c r="U48" s="42" t="s">
        <v>339</v>
      </c>
      <c r="V48" s="42" t="s">
        <v>339</v>
      </c>
      <c r="W48" s="42" t="s">
        <v>339</v>
      </c>
      <c r="X48" s="45">
        <v>0</v>
      </c>
      <c r="AA48" s="29">
        <v>1</v>
      </c>
      <c r="AB48" s="29">
        <v>1</v>
      </c>
      <c r="AC48" s="29">
        <v>1</v>
      </c>
      <c r="AD48" s="32" t="e">
        <v>#REF!</v>
      </c>
      <c r="AI48" s="30">
        <v>0</v>
      </c>
    </row>
    <row r="49" spans="2:35" s="29" customFormat="1" ht="33" customHeight="1">
      <c r="B49" s="50">
        <v>2021</v>
      </c>
      <c r="C49" s="49" t="s">
        <v>120</v>
      </c>
      <c r="D49" s="49" t="s">
        <v>121</v>
      </c>
      <c r="E49" s="46" t="s">
        <v>258</v>
      </c>
      <c r="F49" s="49" t="s">
        <v>104</v>
      </c>
      <c r="G49" s="39" t="s">
        <v>40</v>
      </c>
      <c r="H49" s="39" t="s">
        <v>41</v>
      </c>
      <c r="I49" s="10">
        <v>44499</v>
      </c>
      <c r="J49" s="53"/>
      <c r="K49" s="43">
        <v>4</v>
      </c>
      <c r="L49" s="47" t="s">
        <v>336</v>
      </c>
      <c r="M49" s="43">
        <v>1</v>
      </c>
      <c r="N49" s="44">
        <v>44726</v>
      </c>
      <c r="O49" s="67">
        <v>10</v>
      </c>
      <c r="P49" s="70">
        <v>0</v>
      </c>
      <c r="Q49" s="71">
        <v>0</v>
      </c>
      <c r="R49" s="71">
        <v>10</v>
      </c>
      <c r="S49" s="72">
        <v>0</v>
      </c>
      <c r="T49" s="67">
        <v>0</v>
      </c>
      <c r="U49" s="42">
        <v>0</v>
      </c>
      <c r="V49" s="42">
        <v>0</v>
      </c>
      <c r="W49" s="42">
        <v>1</v>
      </c>
      <c r="X49" s="45">
        <v>0</v>
      </c>
      <c r="AI49" s="30">
        <v>10</v>
      </c>
    </row>
    <row r="50" spans="2:35" s="29" customFormat="1" ht="33" customHeight="1">
      <c r="B50" s="50">
        <v>2021</v>
      </c>
      <c r="C50" s="49" t="s">
        <v>116</v>
      </c>
      <c r="D50" s="49" t="s">
        <v>117</v>
      </c>
      <c r="E50" s="48" t="s">
        <v>256</v>
      </c>
      <c r="F50" s="49" t="s">
        <v>10</v>
      </c>
      <c r="G50" s="39" t="s">
        <v>11</v>
      </c>
      <c r="H50" s="39" t="s">
        <v>118</v>
      </c>
      <c r="I50" s="75">
        <v>44503</v>
      </c>
      <c r="J50" s="53"/>
      <c r="K50" s="8">
        <v>1</v>
      </c>
      <c r="L50" s="6" t="s">
        <v>336</v>
      </c>
      <c r="M50" s="8">
        <v>2</v>
      </c>
      <c r="N50" s="9">
        <v>45231</v>
      </c>
      <c r="O50" s="6">
        <v>12</v>
      </c>
      <c r="P50" s="115">
        <v>0</v>
      </c>
      <c r="Q50" s="116">
        <v>4</v>
      </c>
      <c r="R50" s="116">
        <v>8</v>
      </c>
      <c r="S50" s="117">
        <v>0</v>
      </c>
      <c r="T50" s="14">
        <v>0</v>
      </c>
      <c r="U50" s="42">
        <v>0</v>
      </c>
      <c r="V50" s="42">
        <v>0.33333333333333331</v>
      </c>
      <c r="W50" s="42">
        <v>0.66666666666666663</v>
      </c>
      <c r="X50" s="45">
        <v>0</v>
      </c>
      <c r="AA50" s="29">
        <v>1</v>
      </c>
      <c r="AB50" s="29">
        <v>1</v>
      </c>
      <c r="AC50" s="29">
        <v>1</v>
      </c>
      <c r="AD50" s="32" t="e">
        <v>#REF!</v>
      </c>
      <c r="AI50" s="30">
        <v>12</v>
      </c>
    </row>
    <row r="51" spans="2:35" s="29" customFormat="1" ht="33" customHeight="1">
      <c r="B51" s="50">
        <v>2021</v>
      </c>
      <c r="C51" s="49" t="s">
        <v>122</v>
      </c>
      <c r="D51" s="49" t="s">
        <v>123</v>
      </c>
      <c r="E51" s="46" t="s">
        <v>259</v>
      </c>
      <c r="F51" s="49" t="s">
        <v>94</v>
      </c>
      <c r="G51" s="39" t="s">
        <v>82</v>
      </c>
      <c r="H51" s="39" t="s">
        <v>67</v>
      </c>
      <c r="I51" s="75">
        <v>44509</v>
      </c>
      <c r="J51" s="53"/>
      <c r="K51" s="8">
        <v>7</v>
      </c>
      <c r="L51" s="6" t="s">
        <v>337</v>
      </c>
      <c r="M51" s="8" t="s">
        <v>338</v>
      </c>
      <c r="N51" s="9">
        <v>0</v>
      </c>
      <c r="O51" s="6">
        <v>0</v>
      </c>
      <c r="P51" s="115">
        <v>0</v>
      </c>
      <c r="Q51" s="116">
        <v>0</v>
      </c>
      <c r="R51" s="116">
        <v>0</v>
      </c>
      <c r="S51" s="117">
        <v>0</v>
      </c>
      <c r="T51" s="14">
        <v>0</v>
      </c>
      <c r="U51" s="42" t="s">
        <v>339</v>
      </c>
      <c r="V51" s="42" t="s">
        <v>339</v>
      </c>
      <c r="W51" s="42" t="s">
        <v>339</v>
      </c>
      <c r="X51" s="45">
        <v>0</v>
      </c>
      <c r="AA51" s="29">
        <v>1</v>
      </c>
      <c r="AB51" s="29">
        <v>1</v>
      </c>
      <c r="AC51" s="29">
        <v>1</v>
      </c>
      <c r="AD51" s="32" t="e">
        <v>#REF!</v>
      </c>
      <c r="AI51" s="30">
        <v>0</v>
      </c>
    </row>
    <row r="52" spans="2:35" s="29" customFormat="1" ht="33" customHeight="1">
      <c r="B52" s="50">
        <v>2021</v>
      </c>
      <c r="C52" s="49" t="s">
        <v>125</v>
      </c>
      <c r="D52" s="49" t="s">
        <v>126</v>
      </c>
      <c r="E52" s="46" t="s">
        <v>261</v>
      </c>
      <c r="F52" s="49" t="s">
        <v>98</v>
      </c>
      <c r="G52" s="39" t="s">
        <v>127</v>
      </c>
      <c r="H52" s="39" t="s">
        <v>128</v>
      </c>
      <c r="I52" s="75">
        <v>44559</v>
      </c>
      <c r="J52" s="53"/>
      <c r="K52" s="43">
        <v>1</v>
      </c>
      <c r="L52" s="47" t="s">
        <v>336</v>
      </c>
      <c r="M52" s="43">
        <v>0</v>
      </c>
      <c r="N52" s="44">
        <v>0</v>
      </c>
      <c r="O52" s="67">
        <v>8</v>
      </c>
      <c r="P52" s="70">
        <v>0</v>
      </c>
      <c r="Q52" s="71">
        <v>0</v>
      </c>
      <c r="R52" s="71">
        <v>0</v>
      </c>
      <c r="S52" s="72">
        <v>8</v>
      </c>
      <c r="T52" s="67">
        <v>0</v>
      </c>
      <c r="U52" s="42" t="s">
        <v>339</v>
      </c>
      <c r="V52" s="42" t="s">
        <v>339</v>
      </c>
      <c r="W52" s="42" t="s">
        <v>339</v>
      </c>
      <c r="X52" s="45">
        <v>0</v>
      </c>
    </row>
    <row r="53" spans="2:35" s="29" customFormat="1" ht="33" customHeight="1">
      <c r="B53" s="50">
        <v>2021</v>
      </c>
      <c r="C53" s="49" t="s">
        <v>124</v>
      </c>
      <c r="D53" s="49" t="s">
        <v>33</v>
      </c>
      <c r="E53" s="46" t="s">
        <v>260</v>
      </c>
      <c r="F53" s="49" t="s">
        <v>104</v>
      </c>
      <c r="G53" s="39" t="s">
        <v>35</v>
      </c>
      <c r="H53" s="39" t="s">
        <v>36</v>
      </c>
      <c r="I53" s="10">
        <v>44601</v>
      </c>
      <c r="J53" s="53"/>
      <c r="K53" s="43">
        <v>4</v>
      </c>
      <c r="L53" s="47" t="s">
        <v>336</v>
      </c>
      <c r="M53" s="67">
        <v>1</v>
      </c>
      <c r="N53" s="44">
        <v>44700</v>
      </c>
      <c r="O53" s="67">
        <v>5</v>
      </c>
      <c r="P53" s="70">
        <v>0</v>
      </c>
      <c r="Q53" s="71">
        <v>4</v>
      </c>
      <c r="R53" s="71">
        <v>1</v>
      </c>
      <c r="S53" s="72">
        <v>0</v>
      </c>
      <c r="T53" s="67">
        <v>0</v>
      </c>
      <c r="U53" s="42">
        <v>0</v>
      </c>
      <c r="V53" s="42">
        <v>0.8</v>
      </c>
      <c r="W53" s="42">
        <v>0.2</v>
      </c>
      <c r="X53" s="45">
        <v>0</v>
      </c>
      <c r="AA53" s="29" t="s">
        <v>209</v>
      </c>
      <c r="AD53" s="29" t="e">
        <v>#REF!</v>
      </c>
      <c r="AI53" s="30">
        <v>5</v>
      </c>
    </row>
    <row r="54" spans="2:35" s="29" customFormat="1" ht="33" customHeight="1">
      <c r="B54" s="50">
        <v>2022</v>
      </c>
      <c r="C54" s="49" t="s">
        <v>136</v>
      </c>
      <c r="D54" s="49" t="s">
        <v>97</v>
      </c>
      <c r="E54" s="46" t="s">
        <v>265</v>
      </c>
      <c r="F54" s="49" t="s">
        <v>70</v>
      </c>
      <c r="G54" s="39" t="s">
        <v>35</v>
      </c>
      <c r="H54" s="39" t="s">
        <v>36</v>
      </c>
      <c r="I54" s="10">
        <v>44586</v>
      </c>
      <c r="J54" s="53"/>
      <c r="K54" s="43">
        <v>2</v>
      </c>
      <c r="L54" s="47" t="s">
        <v>337</v>
      </c>
      <c r="M54" s="67" t="s">
        <v>338</v>
      </c>
      <c r="N54" s="44">
        <v>0</v>
      </c>
      <c r="O54" s="67">
        <v>0</v>
      </c>
      <c r="P54" s="70">
        <v>0</v>
      </c>
      <c r="Q54" s="71">
        <v>0</v>
      </c>
      <c r="R54" s="71">
        <v>0</v>
      </c>
      <c r="S54" s="72">
        <v>0</v>
      </c>
      <c r="T54" s="67">
        <v>0</v>
      </c>
      <c r="U54" s="42" t="s">
        <v>339</v>
      </c>
      <c r="V54" s="42" t="s">
        <v>339</v>
      </c>
      <c r="W54" s="42" t="s">
        <v>339</v>
      </c>
      <c r="X54" s="45">
        <v>0</v>
      </c>
      <c r="AI54" s="30">
        <v>0</v>
      </c>
    </row>
    <row r="55" spans="2:35" s="29" customFormat="1" ht="33" customHeight="1">
      <c r="B55" s="50">
        <v>2022</v>
      </c>
      <c r="C55" s="49" t="s">
        <v>131</v>
      </c>
      <c r="D55" s="49" t="s">
        <v>132</v>
      </c>
      <c r="E55" s="46" t="s">
        <v>263</v>
      </c>
      <c r="F55" s="49" t="s">
        <v>133</v>
      </c>
      <c r="G55" s="39" t="s">
        <v>127</v>
      </c>
      <c r="H55" s="39" t="s">
        <v>128</v>
      </c>
      <c r="I55" s="75">
        <v>44636</v>
      </c>
      <c r="J55" s="53"/>
      <c r="K55" s="43">
        <v>1</v>
      </c>
      <c r="L55" s="47" t="s">
        <v>336</v>
      </c>
      <c r="M55" s="43">
        <v>2</v>
      </c>
      <c r="N55" s="44">
        <v>44740</v>
      </c>
      <c r="O55" s="67">
        <v>12</v>
      </c>
      <c r="P55" s="70">
        <v>3</v>
      </c>
      <c r="Q55" s="71">
        <v>9</v>
      </c>
      <c r="R55" s="71">
        <v>0</v>
      </c>
      <c r="S55" s="72">
        <v>0</v>
      </c>
      <c r="T55" s="67">
        <v>0</v>
      </c>
      <c r="U55" s="42">
        <v>0.25</v>
      </c>
      <c r="V55" s="42">
        <v>0.75</v>
      </c>
      <c r="W55" s="42">
        <v>0</v>
      </c>
      <c r="X55" s="45">
        <v>0</v>
      </c>
      <c r="AA55" s="29">
        <v>1</v>
      </c>
      <c r="AB55" s="29">
        <v>1</v>
      </c>
      <c r="AC55" s="29">
        <v>6</v>
      </c>
      <c r="AD55" s="32" t="e">
        <v>#VALUE!</v>
      </c>
    </row>
    <row r="56" spans="2:35" s="29" customFormat="1" ht="33" customHeight="1">
      <c r="B56" s="50">
        <v>2022</v>
      </c>
      <c r="C56" s="49" t="s">
        <v>134</v>
      </c>
      <c r="D56" s="49" t="s">
        <v>135</v>
      </c>
      <c r="E56" s="46" t="s">
        <v>264</v>
      </c>
      <c r="F56" s="49" t="s">
        <v>70</v>
      </c>
      <c r="G56" s="39" t="s">
        <v>45</v>
      </c>
      <c r="H56" s="39" t="s">
        <v>46</v>
      </c>
      <c r="I56" s="10">
        <v>44637</v>
      </c>
      <c r="J56" s="53"/>
      <c r="K56" s="43">
        <v>2</v>
      </c>
      <c r="L56" s="47" t="s">
        <v>337</v>
      </c>
      <c r="M56" s="43" t="s">
        <v>338</v>
      </c>
      <c r="N56" s="44">
        <v>0</v>
      </c>
      <c r="O56" s="67">
        <v>0</v>
      </c>
      <c r="P56" s="70">
        <v>0</v>
      </c>
      <c r="Q56" s="71">
        <v>0</v>
      </c>
      <c r="R56" s="71">
        <v>0</v>
      </c>
      <c r="S56" s="72">
        <v>0</v>
      </c>
      <c r="T56" s="67">
        <v>0</v>
      </c>
      <c r="U56" s="42" t="s">
        <v>339</v>
      </c>
      <c r="V56" s="42" t="s">
        <v>339</v>
      </c>
      <c r="W56" s="42" t="s">
        <v>339</v>
      </c>
      <c r="X56" s="45">
        <v>0</v>
      </c>
    </row>
    <row r="57" spans="2:35" s="29" customFormat="1" ht="33" customHeight="1">
      <c r="B57" s="50">
        <v>2022</v>
      </c>
      <c r="C57" s="49" t="s">
        <v>129</v>
      </c>
      <c r="D57" s="49" t="s">
        <v>130</v>
      </c>
      <c r="E57" s="46" t="s">
        <v>262</v>
      </c>
      <c r="F57" s="49" t="s">
        <v>98</v>
      </c>
      <c r="G57" s="39" t="s">
        <v>40</v>
      </c>
      <c r="H57" s="39" t="s">
        <v>41</v>
      </c>
      <c r="I57" s="10">
        <v>44648</v>
      </c>
      <c r="J57" s="53"/>
      <c r="K57" s="43">
        <v>2</v>
      </c>
      <c r="L57" s="47" t="s">
        <v>336</v>
      </c>
      <c r="M57" s="43">
        <v>0</v>
      </c>
      <c r="N57" s="44">
        <v>0</v>
      </c>
      <c r="O57" s="67">
        <v>6</v>
      </c>
      <c r="P57" s="70">
        <v>0</v>
      </c>
      <c r="Q57" s="71">
        <v>0</v>
      </c>
      <c r="R57" s="71">
        <v>0</v>
      </c>
      <c r="S57" s="72">
        <v>6</v>
      </c>
      <c r="T57" s="67">
        <v>0</v>
      </c>
      <c r="U57" s="42" t="s">
        <v>339</v>
      </c>
      <c r="V57" s="42" t="s">
        <v>339</v>
      </c>
      <c r="W57" s="42" t="s">
        <v>339</v>
      </c>
      <c r="X57" s="45">
        <v>0</v>
      </c>
      <c r="AA57" s="29">
        <v>1</v>
      </c>
      <c r="AB57" s="29">
        <v>1</v>
      </c>
      <c r="AC57" s="29">
        <v>7</v>
      </c>
      <c r="AD57" s="32" t="e">
        <v>#VALUE!</v>
      </c>
      <c r="AI57" s="30">
        <v>6</v>
      </c>
    </row>
    <row r="58" spans="2:35" s="29" customFormat="1" ht="33" customHeight="1">
      <c r="B58" s="50">
        <v>2022</v>
      </c>
      <c r="C58" s="49" t="s">
        <v>140</v>
      </c>
      <c r="D58" s="49" t="s">
        <v>141</v>
      </c>
      <c r="E58" s="46" t="s">
        <v>268</v>
      </c>
      <c r="F58" s="49" t="s">
        <v>94</v>
      </c>
      <c r="G58" s="39" t="s">
        <v>95</v>
      </c>
      <c r="H58" s="39" t="s">
        <v>142</v>
      </c>
      <c r="I58" s="75">
        <v>44705</v>
      </c>
      <c r="J58" s="53"/>
      <c r="K58" s="8">
        <v>4</v>
      </c>
      <c r="L58" s="6" t="s">
        <v>336</v>
      </c>
      <c r="M58" s="8">
        <v>0</v>
      </c>
      <c r="N58" s="9">
        <v>0</v>
      </c>
      <c r="O58" s="6">
        <v>5</v>
      </c>
      <c r="P58" s="115">
        <v>0</v>
      </c>
      <c r="Q58" s="116">
        <v>0</v>
      </c>
      <c r="R58" s="116">
        <v>0</v>
      </c>
      <c r="S58" s="117">
        <v>5</v>
      </c>
      <c r="T58" s="14">
        <v>0</v>
      </c>
      <c r="U58" s="42" t="s">
        <v>339</v>
      </c>
      <c r="V58" s="42" t="s">
        <v>339</v>
      </c>
      <c r="W58" s="42" t="s">
        <v>339</v>
      </c>
      <c r="X58" s="45">
        <v>0</v>
      </c>
    </row>
    <row r="59" spans="2:35" s="29" customFormat="1" ht="33" customHeight="1">
      <c r="B59" s="50">
        <v>2022</v>
      </c>
      <c r="C59" s="49" t="s">
        <v>143</v>
      </c>
      <c r="D59" s="49" t="s">
        <v>144</v>
      </c>
      <c r="E59" s="46" t="s">
        <v>267</v>
      </c>
      <c r="F59" s="49" t="s">
        <v>70</v>
      </c>
      <c r="G59" s="39" t="s">
        <v>40</v>
      </c>
      <c r="H59" s="39" t="s">
        <v>41</v>
      </c>
      <c r="I59" s="10">
        <v>44715</v>
      </c>
      <c r="J59" s="53"/>
      <c r="K59" s="43">
        <v>1</v>
      </c>
      <c r="L59" s="47" t="s">
        <v>337</v>
      </c>
      <c r="M59" s="43" t="s">
        <v>338</v>
      </c>
      <c r="N59" s="44">
        <v>0</v>
      </c>
      <c r="O59" s="67">
        <v>0</v>
      </c>
      <c r="P59" s="70">
        <v>0</v>
      </c>
      <c r="Q59" s="71">
        <v>0</v>
      </c>
      <c r="R59" s="71">
        <v>0</v>
      </c>
      <c r="S59" s="72">
        <v>0</v>
      </c>
      <c r="T59" s="67">
        <v>0</v>
      </c>
      <c r="U59" s="42" t="s">
        <v>339</v>
      </c>
      <c r="V59" s="42" t="s">
        <v>339</v>
      </c>
      <c r="W59" s="42" t="s">
        <v>339</v>
      </c>
      <c r="X59" s="45">
        <v>0</v>
      </c>
      <c r="AI59" s="30">
        <v>0</v>
      </c>
    </row>
    <row r="60" spans="2:35" s="29" customFormat="1" ht="33" customHeight="1">
      <c r="B60" s="50">
        <v>2022</v>
      </c>
      <c r="C60" s="49" t="s">
        <v>138</v>
      </c>
      <c r="D60" s="49" t="s">
        <v>139</v>
      </c>
      <c r="E60" s="46" t="s">
        <v>269</v>
      </c>
      <c r="F60" s="49" t="s">
        <v>10</v>
      </c>
      <c r="G60" s="39" t="s">
        <v>40</v>
      </c>
      <c r="H60" s="39" t="s">
        <v>41</v>
      </c>
      <c r="I60" s="10">
        <v>44728</v>
      </c>
      <c r="J60" s="53"/>
      <c r="K60" s="43">
        <v>1</v>
      </c>
      <c r="L60" s="47" t="s">
        <v>337</v>
      </c>
      <c r="M60" s="43" t="s">
        <v>338</v>
      </c>
      <c r="N60" s="44">
        <v>0</v>
      </c>
      <c r="O60" s="67">
        <v>0</v>
      </c>
      <c r="P60" s="70">
        <v>0</v>
      </c>
      <c r="Q60" s="71">
        <v>0</v>
      </c>
      <c r="R60" s="71">
        <v>0</v>
      </c>
      <c r="S60" s="72">
        <v>0</v>
      </c>
      <c r="T60" s="67">
        <v>0</v>
      </c>
      <c r="U60" s="42" t="s">
        <v>339</v>
      </c>
      <c r="V60" s="42" t="s">
        <v>339</v>
      </c>
      <c r="W60" s="42" t="s">
        <v>339</v>
      </c>
      <c r="X60" s="45">
        <v>0</v>
      </c>
      <c r="AI60" s="30">
        <v>0</v>
      </c>
    </row>
    <row r="61" spans="2:35" s="29" customFormat="1" ht="33" customHeight="1">
      <c r="B61" s="50">
        <v>2022</v>
      </c>
      <c r="C61" s="49" t="s">
        <v>270</v>
      </c>
      <c r="D61" s="49" t="s">
        <v>147</v>
      </c>
      <c r="E61" s="46" t="s">
        <v>270</v>
      </c>
      <c r="F61" s="49" t="s">
        <v>148</v>
      </c>
      <c r="G61" s="39" t="s">
        <v>40</v>
      </c>
      <c r="H61" s="39" t="s">
        <v>41</v>
      </c>
      <c r="I61" s="10">
        <v>44783</v>
      </c>
      <c r="J61" s="53"/>
      <c r="K61" s="43">
        <v>4</v>
      </c>
      <c r="L61" s="47" t="s">
        <v>337</v>
      </c>
      <c r="M61" s="43" t="s">
        <v>338</v>
      </c>
      <c r="N61" s="44">
        <v>0</v>
      </c>
      <c r="O61" s="67">
        <v>0</v>
      </c>
      <c r="P61" s="70">
        <v>0</v>
      </c>
      <c r="Q61" s="71">
        <v>0</v>
      </c>
      <c r="R61" s="71">
        <v>0</v>
      </c>
      <c r="S61" s="72">
        <v>0</v>
      </c>
      <c r="T61" s="67">
        <v>0</v>
      </c>
      <c r="U61" s="42" t="s">
        <v>339</v>
      </c>
      <c r="V61" s="42" t="s">
        <v>339</v>
      </c>
      <c r="W61" s="42" t="s">
        <v>339</v>
      </c>
      <c r="X61" s="45">
        <v>0</v>
      </c>
      <c r="AI61" s="30">
        <v>0</v>
      </c>
    </row>
    <row r="62" spans="2:35" s="29" customFormat="1" ht="33" customHeight="1">
      <c r="B62" s="50">
        <v>2022</v>
      </c>
      <c r="C62" s="49" t="s">
        <v>156</v>
      </c>
      <c r="D62" s="49" t="s">
        <v>57</v>
      </c>
      <c r="E62" s="46" t="s">
        <v>273</v>
      </c>
      <c r="F62" s="49" t="s">
        <v>104</v>
      </c>
      <c r="G62" s="39" t="s">
        <v>35</v>
      </c>
      <c r="H62" s="39" t="s">
        <v>36</v>
      </c>
      <c r="I62" s="10">
        <v>44824</v>
      </c>
      <c r="J62" s="53"/>
      <c r="K62" s="43">
        <v>4</v>
      </c>
      <c r="L62" s="47" t="s">
        <v>337</v>
      </c>
      <c r="M62" s="67" t="s">
        <v>338</v>
      </c>
      <c r="N62" s="44">
        <v>0</v>
      </c>
      <c r="O62" s="67">
        <v>0</v>
      </c>
      <c r="P62" s="70">
        <v>0</v>
      </c>
      <c r="Q62" s="71">
        <v>0</v>
      </c>
      <c r="R62" s="71">
        <v>0</v>
      </c>
      <c r="S62" s="72">
        <v>0</v>
      </c>
      <c r="T62" s="67">
        <v>0</v>
      </c>
      <c r="U62" s="42" t="s">
        <v>339</v>
      </c>
      <c r="V62" s="42" t="s">
        <v>339</v>
      </c>
      <c r="W62" s="42" t="s">
        <v>339</v>
      </c>
      <c r="X62" s="45">
        <v>0</v>
      </c>
      <c r="AI62" s="30">
        <v>0</v>
      </c>
    </row>
    <row r="63" spans="2:35" s="29" customFormat="1" ht="33" customHeight="1">
      <c r="B63" s="50">
        <v>2022</v>
      </c>
      <c r="C63" s="49" t="s">
        <v>149</v>
      </c>
      <c r="D63" s="49" t="s">
        <v>150</v>
      </c>
      <c r="E63" s="46" t="s">
        <v>271</v>
      </c>
      <c r="F63" s="49" t="s">
        <v>94</v>
      </c>
      <c r="G63" s="39" t="s">
        <v>151</v>
      </c>
      <c r="H63" s="39" t="s">
        <v>152</v>
      </c>
      <c r="I63" s="75">
        <v>44840</v>
      </c>
      <c r="J63" s="53"/>
      <c r="K63" s="8">
        <v>5</v>
      </c>
      <c r="L63" s="6" t="s">
        <v>337</v>
      </c>
      <c r="M63" s="8" t="s">
        <v>338</v>
      </c>
      <c r="N63" s="9">
        <v>0</v>
      </c>
      <c r="O63" s="6">
        <v>0</v>
      </c>
      <c r="P63" s="115">
        <v>0</v>
      </c>
      <c r="Q63" s="116">
        <v>0</v>
      </c>
      <c r="R63" s="116">
        <v>0</v>
      </c>
      <c r="S63" s="117">
        <v>0</v>
      </c>
      <c r="T63" s="14">
        <v>0</v>
      </c>
      <c r="U63" s="42" t="s">
        <v>339</v>
      </c>
      <c r="V63" s="42" t="s">
        <v>339</v>
      </c>
      <c r="W63" s="42" t="s">
        <v>339</v>
      </c>
      <c r="X63" s="45">
        <v>0</v>
      </c>
    </row>
    <row r="64" spans="2:35" s="29" customFormat="1" ht="33" customHeight="1">
      <c r="B64" s="50">
        <v>2022</v>
      </c>
      <c r="C64" s="49" t="s">
        <v>145</v>
      </c>
      <c r="D64" s="49" t="s">
        <v>146</v>
      </c>
      <c r="E64" s="46" t="s">
        <v>346</v>
      </c>
      <c r="F64" s="49" t="s">
        <v>10</v>
      </c>
      <c r="G64" s="39" t="s">
        <v>127</v>
      </c>
      <c r="H64" s="39" t="s">
        <v>128</v>
      </c>
      <c r="I64" s="75">
        <v>44841</v>
      </c>
      <c r="J64" s="53"/>
      <c r="K64" s="43">
        <v>1</v>
      </c>
      <c r="L64" s="47" t="s">
        <v>337</v>
      </c>
      <c r="M64" s="43" t="s">
        <v>338</v>
      </c>
      <c r="N64" s="44">
        <v>0</v>
      </c>
      <c r="O64" s="67">
        <v>0</v>
      </c>
      <c r="P64" s="70">
        <v>0</v>
      </c>
      <c r="Q64" s="71">
        <v>0</v>
      </c>
      <c r="R64" s="71">
        <v>0</v>
      </c>
      <c r="S64" s="72">
        <v>0</v>
      </c>
      <c r="T64" s="67">
        <v>0</v>
      </c>
      <c r="U64" s="42" t="s">
        <v>339</v>
      </c>
      <c r="V64" s="42" t="s">
        <v>339</v>
      </c>
      <c r="W64" s="42" t="s">
        <v>339</v>
      </c>
      <c r="X64" s="45">
        <v>0</v>
      </c>
    </row>
    <row r="65" spans="2:35" s="29" customFormat="1" ht="33" customHeight="1">
      <c r="B65" s="50">
        <v>2022</v>
      </c>
      <c r="C65" s="49" t="s">
        <v>137</v>
      </c>
      <c r="D65" s="49" t="s">
        <v>97</v>
      </c>
      <c r="E65" s="46" t="s">
        <v>266</v>
      </c>
      <c r="F65" s="49" t="s">
        <v>104</v>
      </c>
      <c r="G65" s="39" t="s">
        <v>35</v>
      </c>
      <c r="H65" s="39" t="s">
        <v>36</v>
      </c>
      <c r="I65" s="10">
        <v>44868</v>
      </c>
      <c r="J65" s="53"/>
      <c r="K65" s="43">
        <v>3</v>
      </c>
      <c r="L65" s="47" t="s">
        <v>337</v>
      </c>
      <c r="M65" s="67" t="s">
        <v>338</v>
      </c>
      <c r="N65" s="44">
        <v>0</v>
      </c>
      <c r="O65" s="67">
        <v>0</v>
      </c>
      <c r="P65" s="70">
        <v>0</v>
      </c>
      <c r="Q65" s="71">
        <v>0</v>
      </c>
      <c r="R65" s="71">
        <v>0</v>
      </c>
      <c r="S65" s="72">
        <v>0</v>
      </c>
      <c r="T65" s="67">
        <v>0</v>
      </c>
      <c r="U65" s="42" t="s">
        <v>339</v>
      </c>
      <c r="V65" s="42" t="s">
        <v>339</v>
      </c>
      <c r="W65" s="42" t="s">
        <v>339</v>
      </c>
      <c r="X65" s="45">
        <v>0</v>
      </c>
      <c r="AA65" s="29" t="s">
        <v>209</v>
      </c>
      <c r="AD65" s="29" t="e">
        <v>#REF!</v>
      </c>
      <c r="AI65" s="30">
        <v>0</v>
      </c>
    </row>
    <row r="66" spans="2:35" s="29" customFormat="1" ht="33" customHeight="1">
      <c r="B66" s="50">
        <v>2022</v>
      </c>
      <c r="C66" s="49" t="s">
        <v>153</v>
      </c>
      <c r="D66" s="49" t="s">
        <v>154</v>
      </c>
      <c r="E66" s="48" t="s">
        <v>272</v>
      </c>
      <c r="F66" s="49" t="s">
        <v>155</v>
      </c>
      <c r="G66" s="39" t="s">
        <v>11</v>
      </c>
      <c r="H66" s="39" t="s">
        <v>22</v>
      </c>
      <c r="I66" s="75">
        <v>44890</v>
      </c>
      <c r="J66" s="53"/>
      <c r="K66" s="8">
        <v>1</v>
      </c>
      <c r="L66" s="6" t="s">
        <v>337</v>
      </c>
      <c r="M66" s="8" t="s">
        <v>338</v>
      </c>
      <c r="N66" s="9">
        <v>0</v>
      </c>
      <c r="O66" s="6">
        <v>0</v>
      </c>
      <c r="P66" s="115">
        <v>0</v>
      </c>
      <c r="Q66" s="116">
        <v>0</v>
      </c>
      <c r="R66" s="116">
        <v>0</v>
      </c>
      <c r="S66" s="117">
        <v>0</v>
      </c>
      <c r="T66" s="14">
        <v>0</v>
      </c>
      <c r="U66" s="42" t="s">
        <v>339</v>
      </c>
      <c r="V66" s="42" t="s">
        <v>339</v>
      </c>
      <c r="W66" s="42" t="s">
        <v>339</v>
      </c>
      <c r="X66" s="45">
        <v>0</v>
      </c>
      <c r="AA66" s="29" t="e">
        <v>#VALUE!</v>
      </c>
      <c r="AI66" s="30">
        <v>0</v>
      </c>
    </row>
    <row r="67" spans="2:35" s="29" customFormat="1" ht="33" customHeight="1">
      <c r="B67" s="50">
        <v>2023</v>
      </c>
      <c r="C67" s="49" t="s">
        <v>157</v>
      </c>
      <c r="D67" s="49" t="s">
        <v>158</v>
      </c>
      <c r="E67" s="46" t="s">
        <v>274</v>
      </c>
      <c r="F67" s="49" t="s">
        <v>159</v>
      </c>
      <c r="G67" s="39" t="s">
        <v>35</v>
      </c>
      <c r="H67" s="39" t="s">
        <v>36</v>
      </c>
      <c r="I67" s="10">
        <v>44984</v>
      </c>
      <c r="J67" s="53"/>
      <c r="K67" s="43">
        <v>8</v>
      </c>
      <c r="L67" s="47" t="s">
        <v>337</v>
      </c>
      <c r="M67" s="67" t="s">
        <v>338</v>
      </c>
      <c r="N67" s="44">
        <v>0</v>
      </c>
      <c r="O67" s="67">
        <v>0</v>
      </c>
      <c r="P67" s="70">
        <v>0</v>
      </c>
      <c r="Q67" s="71">
        <v>0</v>
      </c>
      <c r="R67" s="71">
        <v>0</v>
      </c>
      <c r="S67" s="72">
        <v>0</v>
      </c>
      <c r="T67" s="67">
        <v>0</v>
      </c>
      <c r="U67" s="42" t="s">
        <v>339</v>
      </c>
      <c r="V67" s="42" t="s">
        <v>339</v>
      </c>
      <c r="W67" s="42" t="s">
        <v>339</v>
      </c>
      <c r="X67" s="45">
        <v>0</v>
      </c>
      <c r="AA67" s="34" t="e">
        <v>#VALUE!</v>
      </c>
      <c r="AI67" s="30">
        <v>0</v>
      </c>
    </row>
    <row r="68" spans="2:35" s="29" customFormat="1" ht="33" customHeight="1">
      <c r="B68" s="50">
        <v>2023</v>
      </c>
      <c r="C68" s="49" t="s">
        <v>160</v>
      </c>
      <c r="D68" s="49" t="s">
        <v>161</v>
      </c>
      <c r="E68" s="48" t="s">
        <v>275</v>
      </c>
      <c r="F68" s="49" t="s">
        <v>10</v>
      </c>
      <c r="G68" s="39" t="s">
        <v>11</v>
      </c>
      <c r="H68" s="39" t="s">
        <v>22</v>
      </c>
      <c r="I68" s="75">
        <v>44992</v>
      </c>
      <c r="J68" s="53"/>
      <c r="K68" s="8">
        <v>1</v>
      </c>
      <c r="L68" s="6" t="s">
        <v>337</v>
      </c>
      <c r="M68" s="8" t="s">
        <v>338</v>
      </c>
      <c r="N68" s="9">
        <v>0</v>
      </c>
      <c r="O68" s="6">
        <v>0</v>
      </c>
      <c r="P68" s="115">
        <v>0</v>
      </c>
      <c r="Q68" s="116">
        <v>0</v>
      </c>
      <c r="R68" s="116">
        <v>0</v>
      </c>
      <c r="S68" s="117">
        <v>0</v>
      </c>
      <c r="T68" s="14">
        <v>0</v>
      </c>
      <c r="U68" s="42" t="s">
        <v>339</v>
      </c>
      <c r="V68" s="42" t="s">
        <v>339</v>
      </c>
      <c r="W68" s="42" t="s">
        <v>339</v>
      </c>
      <c r="X68" s="45">
        <v>0</v>
      </c>
      <c r="AI68" s="30">
        <v>0</v>
      </c>
    </row>
    <row r="69" spans="2:35" s="29" customFormat="1" ht="33" customHeight="1">
      <c r="B69" s="50">
        <v>2023</v>
      </c>
      <c r="C69" s="49" t="s">
        <v>164</v>
      </c>
      <c r="D69" s="49" t="s">
        <v>165</v>
      </c>
      <c r="E69" s="46" t="s">
        <v>287</v>
      </c>
      <c r="F69" s="49" t="s">
        <v>166</v>
      </c>
      <c r="G69" s="39" t="s">
        <v>95</v>
      </c>
      <c r="H69" s="39" t="s">
        <v>142</v>
      </c>
      <c r="I69" s="75">
        <v>44995</v>
      </c>
      <c r="J69" s="53"/>
      <c r="K69" s="8">
        <v>3</v>
      </c>
      <c r="L69" s="6" t="s">
        <v>336</v>
      </c>
      <c r="M69" s="8">
        <v>0</v>
      </c>
      <c r="N69" s="9">
        <v>0</v>
      </c>
      <c r="O69" s="6">
        <v>6</v>
      </c>
      <c r="P69" s="115">
        <v>0</v>
      </c>
      <c r="Q69" s="116">
        <v>0</v>
      </c>
      <c r="R69" s="116">
        <v>0</v>
      </c>
      <c r="S69" s="117">
        <v>6</v>
      </c>
      <c r="T69" s="14">
        <v>0</v>
      </c>
      <c r="U69" s="42" t="s">
        <v>339</v>
      </c>
      <c r="V69" s="42" t="s">
        <v>339</v>
      </c>
      <c r="W69" s="42" t="s">
        <v>339</v>
      </c>
      <c r="X69" s="45">
        <v>0</v>
      </c>
    </row>
    <row r="70" spans="2:35" s="29" customFormat="1" ht="33" customHeight="1">
      <c r="B70" s="50">
        <v>2023</v>
      </c>
      <c r="C70" s="49" t="s">
        <v>167</v>
      </c>
      <c r="D70" s="49" t="s">
        <v>43</v>
      </c>
      <c r="E70" s="39" t="s">
        <v>276</v>
      </c>
      <c r="F70" s="49" t="s">
        <v>94</v>
      </c>
      <c r="G70" s="39" t="s">
        <v>45</v>
      </c>
      <c r="H70" s="39" t="s">
        <v>46</v>
      </c>
      <c r="I70" s="10">
        <v>45013</v>
      </c>
      <c r="J70" s="53"/>
      <c r="K70" s="43">
        <v>6</v>
      </c>
      <c r="L70" s="47" t="s">
        <v>336</v>
      </c>
      <c r="M70" s="43">
        <v>0</v>
      </c>
      <c r="N70" s="44">
        <v>0</v>
      </c>
      <c r="O70" s="67">
        <v>5</v>
      </c>
      <c r="P70" s="70">
        <v>0</v>
      </c>
      <c r="Q70" s="71">
        <v>0</v>
      </c>
      <c r="R70" s="71">
        <v>0</v>
      </c>
      <c r="S70" s="72">
        <v>5</v>
      </c>
      <c r="T70" s="67">
        <v>0</v>
      </c>
      <c r="U70" s="42" t="s">
        <v>339</v>
      </c>
      <c r="V70" s="42" t="s">
        <v>339</v>
      </c>
      <c r="W70" s="42" t="s">
        <v>339</v>
      </c>
      <c r="X70" s="45">
        <v>0</v>
      </c>
      <c r="AI70" s="30">
        <v>5</v>
      </c>
    </row>
    <row r="71" spans="2:35" s="29" customFormat="1" ht="33" customHeight="1">
      <c r="B71" s="50">
        <v>2023</v>
      </c>
      <c r="C71" s="49" t="s">
        <v>331</v>
      </c>
      <c r="D71" s="49" t="s">
        <v>162</v>
      </c>
      <c r="E71" s="46" t="s">
        <v>291</v>
      </c>
      <c r="F71" s="49" t="s">
        <v>15</v>
      </c>
      <c r="G71" s="39" t="s">
        <v>11</v>
      </c>
      <c r="H71" s="39" t="s">
        <v>163</v>
      </c>
      <c r="I71" s="75">
        <v>45041</v>
      </c>
      <c r="J71" s="53"/>
      <c r="K71" s="8">
        <v>8</v>
      </c>
      <c r="L71" s="6" t="s">
        <v>337</v>
      </c>
      <c r="M71" s="8" t="s">
        <v>338</v>
      </c>
      <c r="N71" s="9">
        <v>0</v>
      </c>
      <c r="O71" s="6">
        <v>0</v>
      </c>
      <c r="P71" s="115">
        <v>0</v>
      </c>
      <c r="Q71" s="116">
        <v>0</v>
      </c>
      <c r="R71" s="116">
        <v>0</v>
      </c>
      <c r="S71" s="117">
        <v>0</v>
      </c>
      <c r="T71" s="14">
        <v>0</v>
      </c>
      <c r="U71" s="42" t="s">
        <v>339</v>
      </c>
      <c r="V71" s="42" t="s">
        <v>339</v>
      </c>
      <c r="W71" s="42" t="s">
        <v>339</v>
      </c>
      <c r="X71" s="45">
        <v>0</v>
      </c>
      <c r="AA71" s="29" t="s">
        <v>209</v>
      </c>
      <c r="AD71" s="29" t="e">
        <v>#REF!</v>
      </c>
      <c r="AI71" s="30">
        <v>0</v>
      </c>
    </row>
    <row r="72" spans="2:35" s="29" customFormat="1" ht="33" customHeight="1">
      <c r="B72" s="50">
        <v>2023</v>
      </c>
      <c r="C72" s="49" t="s">
        <v>168</v>
      </c>
      <c r="D72" s="49" t="s">
        <v>169</v>
      </c>
      <c r="E72" s="46" t="s">
        <v>313</v>
      </c>
      <c r="F72" s="49" t="s">
        <v>159</v>
      </c>
      <c r="G72" s="39" t="s">
        <v>35</v>
      </c>
      <c r="H72" s="39" t="s">
        <v>36</v>
      </c>
      <c r="I72" s="10">
        <v>45049</v>
      </c>
      <c r="J72" s="53"/>
      <c r="K72" s="43">
        <v>9</v>
      </c>
      <c r="L72" s="47" t="s">
        <v>337</v>
      </c>
      <c r="M72" s="67" t="s">
        <v>338</v>
      </c>
      <c r="N72" s="44">
        <v>0</v>
      </c>
      <c r="O72" s="67">
        <v>0</v>
      </c>
      <c r="P72" s="70">
        <v>0</v>
      </c>
      <c r="Q72" s="71">
        <v>0</v>
      </c>
      <c r="R72" s="71">
        <v>0</v>
      </c>
      <c r="S72" s="72">
        <v>0</v>
      </c>
      <c r="T72" s="67">
        <v>0</v>
      </c>
      <c r="U72" s="42" t="s">
        <v>339</v>
      </c>
      <c r="V72" s="42" t="s">
        <v>339</v>
      </c>
      <c r="W72" s="42" t="s">
        <v>339</v>
      </c>
      <c r="X72" s="45">
        <v>0</v>
      </c>
      <c r="AA72" s="34" t="e">
        <v>#VALUE!</v>
      </c>
      <c r="AI72" s="30">
        <v>0</v>
      </c>
    </row>
    <row r="73" spans="2:35" s="29" customFormat="1" ht="33" customHeight="1">
      <c r="B73" s="50">
        <v>2023</v>
      </c>
      <c r="C73" s="39" t="s">
        <v>283</v>
      </c>
      <c r="D73" s="39" t="s">
        <v>170</v>
      </c>
      <c r="E73" s="39" t="s">
        <v>282</v>
      </c>
      <c r="F73" s="49" t="s">
        <v>166</v>
      </c>
      <c r="G73" s="39" t="s">
        <v>105</v>
      </c>
      <c r="H73" s="39" t="s">
        <v>106</v>
      </c>
      <c r="I73" s="76">
        <v>45097</v>
      </c>
      <c r="J73" s="53"/>
      <c r="K73" s="8">
        <v>4</v>
      </c>
      <c r="L73" s="6" t="s">
        <v>337</v>
      </c>
      <c r="M73" s="8" t="s">
        <v>338</v>
      </c>
      <c r="N73" s="9">
        <v>0</v>
      </c>
      <c r="O73" s="6">
        <v>0</v>
      </c>
      <c r="P73" s="115">
        <v>0</v>
      </c>
      <c r="Q73" s="116">
        <v>0</v>
      </c>
      <c r="R73" s="116">
        <v>0</v>
      </c>
      <c r="S73" s="117">
        <v>0</v>
      </c>
      <c r="T73" s="14">
        <v>0</v>
      </c>
      <c r="U73" s="42" t="s">
        <v>339</v>
      </c>
      <c r="V73" s="42" t="s">
        <v>339</v>
      </c>
      <c r="W73" s="42" t="s">
        <v>339</v>
      </c>
      <c r="X73" s="45">
        <v>0</v>
      </c>
    </row>
    <row r="74" spans="2:35" s="29" customFormat="1" ht="33" customHeight="1">
      <c r="B74" s="50">
        <v>2023</v>
      </c>
      <c r="C74" s="39" t="s">
        <v>285</v>
      </c>
      <c r="D74" s="39" t="s">
        <v>170</v>
      </c>
      <c r="E74" s="39" t="s">
        <v>284</v>
      </c>
      <c r="F74" s="49" t="s">
        <v>171</v>
      </c>
      <c r="G74" s="39" t="s">
        <v>105</v>
      </c>
      <c r="H74" s="39" t="s">
        <v>106</v>
      </c>
      <c r="I74" s="76">
        <v>45112</v>
      </c>
      <c r="J74" s="53"/>
      <c r="K74" s="8">
        <v>3</v>
      </c>
      <c r="L74" s="6" t="s">
        <v>336</v>
      </c>
      <c r="M74" s="8">
        <v>0</v>
      </c>
      <c r="N74" s="9">
        <v>0</v>
      </c>
      <c r="O74" s="6">
        <v>6</v>
      </c>
      <c r="P74" s="115">
        <v>0</v>
      </c>
      <c r="Q74" s="116">
        <v>0</v>
      </c>
      <c r="R74" s="116">
        <v>0</v>
      </c>
      <c r="S74" s="117">
        <v>6</v>
      </c>
      <c r="T74" s="14">
        <v>0</v>
      </c>
      <c r="U74" s="42" t="s">
        <v>339</v>
      </c>
      <c r="V74" s="42" t="s">
        <v>339</v>
      </c>
      <c r="W74" s="42" t="s">
        <v>339</v>
      </c>
      <c r="X74" s="45">
        <v>0</v>
      </c>
    </row>
    <row r="75" spans="2:35" s="29" customFormat="1" ht="33" customHeight="1">
      <c r="B75" s="50">
        <v>2023</v>
      </c>
      <c r="C75" s="49" t="s">
        <v>176</v>
      </c>
      <c r="D75" s="49" t="s">
        <v>176</v>
      </c>
      <c r="E75" s="46" t="s">
        <v>278</v>
      </c>
      <c r="F75" s="49" t="s">
        <v>159</v>
      </c>
      <c r="G75" s="39" t="s">
        <v>35</v>
      </c>
      <c r="H75" s="39" t="s">
        <v>36</v>
      </c>
      <c r="I75" s="10">
        <v>45119</v>
      </c>
      <c r="J75" s="53"/>
      <c r="K75" s="43">
        <v>7</v>
      </c>
      <c r="L75" s="47" t="s">
        <v>337</v>
      </c>
      <c r="M75" s="67" t="s">
        <v>338</v>
      </c>
      <c r="N75" s="44">
        <v>0</v>
      </c>
      <c r="O75" s="67">
        <v>0</v>
      </c>
      <c r="P75" s="70">
        <v>0</v>
      </c>
      <c r="Q75" s="71">
        <v>0</v>
      </c>
      <c r="R75" s="71">
        <v>0</v>
      </c>
      <c r="S75" s="72">
        <v>0</v>
      </c>
      <c r="T75" s="67">
        <v>0</v>
      </c>
      <c r="U75" s="42" t="s">
        <v>339</v>
      </c>
      <c r="V75" s="42" t="s">
        <v>339</v>
      </c>
      <c r="W75" s="42" t="s">
        <v>339</v>
      </c>
      <c r="X75" s="45">
        <v>0</v>
      </c>
      <c r="AA75" s="29">
        <v>1</v>
      </c>
      <c r="AB75" s="29">
        <v>1</v>
      </c>
      <c r="AC75" s="29">
        <v>1</v>
      </c>
      <c r="AD75" s="32" t="e">
        <v>#REF!</v>
      </c>
      <c r="AI75" s="30">
        <v>0</v>
      </c>
    </row>
    <row r="76" spans="2:35" s="29" customFormat="1" ht="33" customHeight="1">
      <c r="B76" s="50">
        <v>2023</v>
      </c>
      <c r="C76" s="49" t="s">
        <v>330</v>
      </c>
      <c r="D76" s="49" t="s">
        <v>174</v>
      </c>
      <c r="E76" s="46" t="s">
        <v>292</v>
      </c>
      <c r="F76" s="49" t="s">
        <v>175</v>
      </c>
      <c r="G76" s="39" t="s">
        <v>11</v>
      </c>
      <c r="H76" s="39" t="s">
        <v>163</v>
      </c>
      <c r="I76" s="75">
        <v>45125</v>
      </c>
      <c r="J76" s="53"/>
      <c r="K76" s="8">
        <v>5</v>
      </c>
      <c r="L76" s="6" t="s">
        <v>337</v>
      </c>
      <c r="M76" s="8" t="s">
        <v>338</v>
      </c>
      <c r="N76" s="9">
        <v>0</v>
      </c>
      <c r="O76" s="6">
        <v>0</v>
      </c>
      <c r="P76" s="115">
        <v>0</v>
      </c>
      <c r="Q76" s="116">
        <v>0</v>
      </c>
      <c r="R76" s="116">
        <v>0</v>
      </c>
      <c r="S76" s="117">
        <v>0</v>
      </c>
      <c r="T76" s="14">
        <v>0</v>
      </c>
      <c r="U76" s="42" t="s">
        <v>339</v>
      </c>
      <c r="V76" s="42" t="s">
        <v>339</v>
      </c>
      <c r="W76" s="42" t="s">
        <v>339</v>
      </c>
      <c r="X76" s="45">
        <v>0</v>
      </c>
      <c r="AA76" s="34" t="e">
        <v>#VALUE!</v>
      </c>
      <c r="AI76" s="30">
        <v>0</v>
      </c>
    </row>
    <row r="77" spans="2:35" s="29" customFormat="1" ht="33" customHeight="1">
      <c r="B77" s="50">
        <v>2023</v>
      </c>
      <c r="C77" s="49" t="s">
        <v>172</v>
      </c>
      <c r="D77" s="49" t="s">
        <v>173</v>
      </c>
      <c r="E77" s="46" t="s">
        <v>277</v>
      </c>
      <c r="F77" s="49" t="s">
        <v>166</v>
      </c>
      <c r="G77" s="39" t="s">
        <v>35</v>
      </c>
      <c r="H77" s="39" t="s">
        <v>36</v>
      </c>
      <c r="I77" s="10">
        <v>45126</v>
      </c>
      <c r="J77" s="53"/>
      <c r="K77" s="43">
        <v>0</v>
      </c>
      <c r="L77" s="47" t="s">
        <v>340</v>
      </c>
      <c r="M77" s="67" t="s">
        <v>338</v>
      </c>
      <c r="N77" s="44">
        <v>0</v>
      </c>
      <c r="O77" s="67">
        <v>0</v>
      </c>
      <c r="P77" s="70">
        <v>0</v>
      </c>
      <c r="Q77" s="71">
        <v>0</v>
      </c>
      <c r="R77" s="71">
        <v>0</v>
      </c>
      <c r="S77" s="72">
        <v>0</v>
      </c>
      <c r="T77" s="67">
        <v>0</v>
      </c>
      <c r="U77" s="42" t="s">
        <v>339</v>
      </c>
      <c r="V77" s="42" t="s">
        <v>339</v>
      </c>
      <c r="W77" s="42" t="s">
        <v>339</v>
      </c>
      <c r="X77" s="45" t="s">
        <v>339</v>
      </c>
      <c r="AI77" s="30">
        <v>0</v>
      </c>
    </row>
    <row r="78" spans="2:35" s="29" customFormat="1" ht="33" customHeight="1">
      <c r="B78" s="50">
        <v>2023</v>
      </c>
      <c r="C78" s="49" t="s">
        <v>177</v>
      </c>
      <c r="D78" s="49" t="s">
        <v>178</v>
      </c>
      <c r="E78" s="48" t="s">
        <v>279</v>
      </c>
      <c r="F78" s="49" t="s">
        <v>10</v>
      </c>
      <c r="G78" s="39" t="s">
        <v>11</v>
      </c>
      <c r="H78" s="39" t="s">
        <v>118</v>
      </c>
      <c r="I78" s="75">
        <v>45154</v>
      </c>
      <c r="J78" s="53"/>
      <c r="K78" s="8">
        <v>3</v>
      </c>
      <c r="L78" s="6" t="s">
        <v>337</v>
      </c>
      <c r="M78" s="8" t="s">
        <v>338</v>
      </c>
      <c r="N78" s="9">
        <v>0</v>
      </c>
      <c r="O78" s="6">
        <v>0</v>
      </c>
      <c r="P78" s="115">
        <v>0</v>
      </c>
      <c r="Q78" s="116">
        <v>0</v>
      </c>
      <c r="R78" s="116">
        <v>0</v>
      </c>
      <c r="S78" s="117">
        <v>0</v>
      </c>
      <c r="T78" s="14">
        <v>0</v>
      </c>
      <c r="U78" s="42" t="s">
        <v>339</v>
      </c>
      <c r="V78" s="42" t="s">
        <v>339</v>
      </c>
      <c r="W78" s="42" t="s">
        <v>339</v>
      </c>
      <c r="X78" s="45">
        <v>0</v>
      </c>
      <c r="AI78" s="30">
        <v>0</v>
      </c>
    </row>
    <row r="79" spans="2:35" s="29" customFormat="1" ht="33" customHeight="1">
      <c r="B79" s="50">
        <v>2023</v>
      </c>
      <c r="C79" s="49" t="s">
        <v>179</v>
      </c>
      <c r="D79" s="49" t="s">
        <v>180</v>
      </c>
      <c r="E79" s="46" t="s">
        <v>315</v>
      </c>
      <c r="F79" s="49" t="s">
        <v>181</v>
      </c>
      <c r="G79" s="39" t="s">
        <v>35</v>
      </c>
      <c r="H79" s="39" t="s">
        <v>36</v>
      </c>
      <c r="I79" s="10">
        <v>45167</v>
      </c>
      <c r="J79" s="53"/>
      <c r="K79" s="43">
        <v>6</v>
      </c>
      <c r="L79" s="47" t="s">
        <v>337</v>
      </c>
      <c r="M79" s="67" t="s">
        <v>338</v>
      </c>
      <c r="N79" s="44">
        <v>0</v>
      </c>
      <c r="O79" s="67">
        <v>0</v>
      </c>
      <c r="P79" s="70">
        <v>0</v>
      </c>
      <c r="Q79" s="71">
        <v>0</v>
      </c>
      <c r="R79" s="71">
        <v>0</v>
      </c>
      <c r="S79" s="72">
        <v>0</v>
      </c>
      <c r="T79" s="67">
        <v>0</v>
      </c>
      <c r="U79" s="42" t="s">
        <v>339</v>
      </c>
      <c r="V79" s="42" t="s">
        <v>339</v>
      </c>
      <c r="W79" s="42" t="s">
        <v>339</v>
      </c>
      <c r="X79" s="45">
        <v>0</v>
      </c>
      <c r="AA79" s="29" t="s">
        <v>209</v>
      </c>
      <c r="AD79" s="29" t="e">
        <v>#REF!</v>
      </c>
      <c r="AI79" s="30">
        <v>0</v>
      </c>
    </row>
    <row r="80" spans="2:35" s="29" customFormat="1" ht="33" customHeight="1">
      <c r="B80" s="50">
        <v>2023</v>
      </c>
      <c r="C80" s="49" t="s">
        <v>182</v>
      </c>
      <c r="D80" s="49" t="s">
        <v>183</v>
      </c>
      <c r="E80" s="46" t="s">
        <v>280</v>
      </c>
      <c r="F80" s="49" t="s">
        <v>184</v>
      </c>
      <c r="G80" s="39" t="s">
        <v>82</v>
      </c>
      <c r="H80" s="39" t="s">
        <v>67</v>
      </c>
      <c r="I80" s="75">
        <v>45208</v>
      </c>
      <c r="J80" s="53"/>
      <c r="K80" s="8">
        <v>7</v>
      </c>
      <c r="L80" s="6" t="s">
        <v>336</v>
      </c>
      <c r="M80" s="8">
        <v>0</v>
      </c>
      <c r="N80" s="9">
        <v>0</v>
      </c>
      <c r="O80" s="6">
        <v>14</v>
      </c>
      <c r="P80" s="115">
        <v>0</v>
      </c>
      <c r="Q80" s="116">
        <v>0</v>
      </c>
      <c r="R80" s="116">
        <v>0</v>
      </c>
      <c r="S80" s="117">
        <v>14</v>
      </c>
      <c r="T80" s="14">
        <v>0</v>
      </c>
      <c r="U80" s="42" t="s">
        <v>339</v>
      </c>
      <c r="V80" s="42" t="s">
        <v>339</v>
      </c>
      <c r="W80" s="42" t="s">
        <v>339</v>
      </c>
      <c r="X80" s="45">
        <v>0</v>
      </c>
      <c r="AI80" s="30">
        <v>14</v>
      </c>
    </row>
    <row r="81" spans="2:35" s="29" customFormat="1" ht="33" customHeight="1">
      <c r="B81" s="50">
        <v>2023</v>
      </c>
      <c r="C81" s="49" t="s">
        <v>328</v>
      </c>
      <c r="D81" s="49" t="s">
        <v>187</v>
      </c>
      <c r="E81" s="46" t="s">
        <v>314</v>
      </c>
      <c r="F81" s="49" t="s">
        <v>159</v>
      </c>
      <c r="G81" s="39" t="s">
        <v>35</v>
      </c>
      <c r="H81" s="39" t="s">
        <v>36</v>
      </c>
      <c r="I81" s="65">
        <v>45225</v>
      </c>
      <c r="J81" s="53"/>
      <c r="K81" s="43">
        <v>5</v>
      </c>
      <c r="L81" s="47" t="s">
        <v>337</v>
      </c>
      <c r="M81" s="67" t="s">
        <v>338</v>
      </c>
      <c r="N81" s="44">
        <v>0</v>
      </c>
      <c r="O81" s="67">
        <v>0</v>
      </c>
      <c r="P81" s="70">
        <v>0</v>
      </c>
      <c r="Q81" s="71">
        <v>0</v>
      </c>
      <c r="R81" s="71">
        <v>0</v>
      </c>
      <c r="S81" s="72">
        <v>0</v>
      </c>
      <c r="T81" s="67">
        <v>0</v>
      </c>
      <c r="U81" s="42" t="s">
        <v>339</v>
      </c>
      <c r="V81" s="42" t="s">
        <v>339</v>
      </c>
      <c r="W81" s="42" t="s">
        <v>339</v>
      </c>
      <c r="X81" s="45">
        <v>0</v>
      </c>
    </row>
    <row r="82" spans="2:35" s="29" customFormat="1" ht="33" customHeight="1">
      <c r="B82" s="50">
        <v>2023</v>
      </c>
      <c r="C82" s="49" t="s">
        <v>327</v>
      </c>
      <c r="D82" s="39" t="s">
        <v>170</v>
      </c>
      <c r="E82" s="39" t="s">
        <v>286</v>
      </c>
      <c r="F82" s="49" t="s">
        <v>166</v>
      </c>
      <c r="G82" s="39" t="s">
        <v>105</v>
      </c>
      <c r="H82" s="39" t="s">
        <v>106</v>
      </c>
      <c r="I82" s="76">
        <v>45239</v>
      </c>
      <c r="J82" s="53"/>
      <c r="K82" s="8">
        <v>2</v>
      </c>
      <c r="L82" s="6" t="s">
        <v>337</v>
      </c>
      <c r="M82" s="8" t="s">
        <v>338</v>
      </c>
      <c r="N82" s="9">
        <v>0</v>
      </c>
      <c r="O82" s="6">
        <v>0</v>
      </c>
      <c r="P82" s="115">
        <v>0</v>
      </c>
      <c r="Q82" s="116">
        <v>0</v>
      </c>
      <c r="R82" s="116">
        <v>0</v>
      </c>
      <c r="S82" s="117">
        <v>0</v>
      </c>
      <c r="T82" s="14">
        <v>0</v>
      </c>
      <c r="U82" s="42" t="s">
        <v>339</v>
      </c>
      <c r="V82" s="42" t="s">
        <v>339</v>
      </c>
      <c r="W82" s="42" t="s">
        <v>339</v>
      </c>
      <c r="X82" s="45">
        <v>0</v>
      </c>
    </row>
    <row r="83" spans="2:35" s="29" customFormat="1" ht="33" customHeight="1">
      <c r="B83" s="50">
        <v>2023</v>
      </c>
      <c r="C83" s="49" t="s">
        <v>325</v>
      </c>
      <c r="D83" s="39" t="s">
        <v>290</v>
      </c>
      <c r="E83" s="46" t="s">
        <v>289</v>
      </c>
      <c r="F83" s="49" t="s">
        <v>166</v>
      </c>
      <c r="G83" s="39" t="s">
        <v>40</v>
      </c>
      <c r="H83" s="39" t="s">
        <v>41</v>
      </c>
      <c r="I83" s="65">
        <v>45240</v>
      </c>
      <c r="J83" s="53"/>
      <c r="K83" s="43">
        <v>3</v>
      </c>
      <c r="L83" s="47" t="s">
        <v>337</v>
      </c>
      <c r="M83" s="43" t="s">
        <v>338</v>
      </c>
      <c r="N83" s="44">
        <v>0</v>
      </c>
      <c r="O83" s="67">
        <v>0</v>
      </c>
      <c r="P83" s="70">
        <v>0</v>
      </c>
      <c r="Q83" s="71">
        <v>0</v>
      </c>
      <c r="R83" s="71">
        <v>0</v>
      </c>
      <c r="S83" s="72">
        <v>0</v>
      </c>
      <c r="T83" s="67">
        <v>0</v>
      </c>
      <c r="U83" s="42" t="s">
        <v>339</v>
      </c>
      <c r="V83" s="42" t="s">
        <v>339</v>
      </c>
      <c r="W83" s="42" t="s">
        <v>339</v>
      </c>
      <c r="X83" s="45">
        <v>0</v>
      </c>
    </row>
    <row r="84" spans="2:35" s="29" customFormat="1" ht="33" customHeight="1">
      <c r="B84" s="50">
        <v>2023</v>
      </c>
      <c r="C84" s="39" t="s">
        <v>329</v>
      </c>
      <c r="D84" s="39" t="s">
        <v>281</v>
      </c>
      <c r="E84" s="46" t="s">
        <v>293</v>
      </c>
      <c r="F84" s="49" t="s">
        <v>192</v>
      </c>
      <c r="G84" s="39" t="s">
        <v>11</v>
      </c>
      <c r="H84" s="39" t="s">
        <v>163</v>
      </c>
      <c r="I84" s="76">
        <v>45250</v>
      </c>
      <c r="J84" s="53"/>
      <c r="K84" s="8">
        <v>5</v>
      </c>
      <c r="L84" s="6" t="s">
        <v>337</v>
      </c>
      <c r="M84" s="8" t="s">
        <v>338</v>
      </c>
      <c r="N84" s="9">
        <v>0</v>
      </c>
      <c r="O84" s="6">
        <v>0</v>
      </c>
      <c r="P84" s="115">
        <v>0</v>
      </c>
      <c r="Q84" s="116">
        <v>0</v>
      </c>
      <c r="R84" s="116">
        <v>0</v>
      </c>
      <c r="S84" s="117">
        <v>0</v>
      </c>
      <c r="T84" s="14">
        <v>0</v>
      </c>
      <c r="U84" s="42" t="s">
        <v>339</v>
      </c>
      <c r="V84" s="42" t="s">
        <v>339</v>
      </c>
      <c r="W84" s="42" t="s">
        <v>339</v>
      </c>
      <c r="X84" s="45">
        <v>0</v>
      </c>
      <c r="AI84" s="30">
        <v>0</v>
      </c>
    </row>
    <row r="85" spans="2:35" s="29" customFormat="1" ht="33" customHeight="1">
      <c r="B85" s="50">
        <v>2023</v>
      </c>
      <c r="C85" s="49" t="s">
        <v>326</v>
      </c>
      <c r="D85" s="49" t="s">
        <v>185</v>
      </c>
      <c r="E85" s="46" t="s">
        <v>288</v>
      </c>
      <c r="F85" s="49" t="s">
        <v>94</v>
      </c>
      <c r="G85" s="39" t="s">
        <v>50</v>
      </c>
      <c r="H85" s="39" t="s">
        <v>186</v>
      </c>
      <c r="I85" s="75">
        <v>45253</v>
      </c>
      <c r="J85" s="53"/>
      <c r="K85" s="8">
        <v>9</v>
      </c>
      <c r="L85" s="6" t="s">
        <v>337</v>
      </c>
      <c r="M85" s="8" t="s">
        <v>338</v>
      </c>
      <c r="N85" s="9">
        <v>0</v>
      </c>
      <c r="O85" s="6">
        <v>0</v>
      </c>
      <c r="P85" s="115">
        <v>0</v>
      </c>
      <c r="Q85" s="116">
        <v>0</v>
      </c>
      <c r="R85" s="116">
        <v>0</v>
      </c>
      <c r="S85" s="117">
        <v>0</v>
      </c>
      <c r="T85" s="14">
        <v>0</v>
      </c>
      <c r="U85" s="42" t="s">
        <v>339</v>
      </c>
      <c r="V85" s="42" t="s">
        <v>339</v>
      </c>
      <c r="W85" s="42" t="s">
        <v>339</v>
      </c>
      <c r="X85" s="45">
        <v>0</v>
      </c>
    </row>
    <row r="86" spans="2:35" s="29" customFormat="1" ht="33" customHeight="1">
      <c r="B86" s="50">
        <v>2023</v>
      </c>
      <c r="C86" s="49" t="s">
        <v>343</v>
      </c>
      <c r="D86" s="39" t="s">
        <v>341</v>
      </c>
      <c r="E86" s="39" t="s">
        <v>347</v>
      </c>
      <c r="F86" s="49" t="s">
        <v>342</v>
      </c>
      <c r="G86" s="39" t="s">
        <v>35</v>
      </c>
      <c r="H86" s="39" t="s">
        <v>36</v>
      </c>
      <c r="I86" s="65">
        <v>45287</v>
      </c>
      <c r="J86" s="28"/>
      <c r="K86" s="43">
        <v>1</v>
      </c>
      <c r="L86" s="47" t="s">
        <v>337</v>
      </c>
      <c r="M86" s="43" t="s">
        <v>338</v>
      </c>
      <c r="N86" s="44">
        <v>0</v>
      </c>
      <c r="O86" s="67">
        <v>0</v>
      </c>
      <c r="P86" s="70">
        <v>0</v>
      </c>
      <c r="Q86" s="71">
        <v>0</v>
      </c>
      <c r="R86" s="71">
        <v>0</v>
      </c>
      <c r="S86" s="72">
        <v>0</v>
      </c>
      <c r="T86" s="67">
        <v>0</v>
      </c>
      <c r="U86" s="42" t="s">
        <v>339</v>
      </c>
      <c r="V86" s="42" t="s">
        <v>339</v>
      </c>
      <c r="W86" s="42" t="s">
        <v>339</v>
      </c>
      <c r="X86" s="45">
        <v>0</v>
      </c>
    </row>
    <row r="87" spans="2:35" s="29" customFormat="1" ht="33" customHeight="1">
      <c r="B87" s="50"/>
      <c r="C87" s="49"/>
      <c r="D87" s="39"/>
      <c r="E87" s="39"/>
      <c r="F87" s="49"/>
      <c r="G87" s="39"/>
      <c r="H87" s="39"/>
      <c r="I87" s="50"/>
      <c r="J87" s="28"/>
      <c r="K87" s="43"/>
      <c r="L87" s="47" t="s">
        <v>338</v>
      </c>
      <c r="M87" s="43"/>
      <c r="N87" s="44"/>
      <c r="O87" s="67"/>
      <c r="P87" s="70"/>
      <c r="Q87" s="71"/>
      <c r="R87" s="71"/>
      <c r="S87" s="72"/>
      <c r="T87" s="67"/>
      <c r="U87" s="42" t="s">
        <v>338</v>
      </c>
      <c r="V87" s="42" t="s">
        <v>338</v>
      </c>
      <c r="W87" s="42" t="s">
        <v>338</v>
      </c>
      <c r="X87" s="45" t="s">
        <v>338</v>
      </c>
    </row>
    <row r="88" spans="2:35" s="29" customFormat="1" ht="33" customHeight="1">
      <c r="B88" s="50"/>
      <c r="C88" s="49"/>
      <c r="D88" s="39"/>
      <c r="E88" s="39"/>
      <c r="F88" s="49"/>
      <c r="G88" s="39"/>
      <c r="H88" s="39"/>
      <c r="I88" s="50"/>
      <c r="J88" s="28"/>
      <c r="K88" s="43"/>
      <c r="L88" s="47" t="s">
        <v>338</v>
      </c>
      <c r="M88" s="43"/>
      <c r="N88" s="44"/>
      <c r="O88" s="67"/>
      <c r="P88" s="70"/>
      <c r="Q88" s="71"/>
      <c r="R88" s="71"/>
      <c r="S88" s="72"/>
      <c r="T88" s="67"/>
      <c r="U88" s="42" t="s">
        <v>338</v>
      </c>
      <c r="V88" s="42" t="s">
        <v>338</v>
      </c>
      <c r="W88" s="42" t="s">
        <v>338</v>
      </c>
      <c r="X88" s="45" t="s">
        <v>338</v>
      </c>
    </row>
    <row r="89" spans="2:35" s="29" customFormat="1" ht="33" customHeight="1">
      <c r="B89" s="50"/>
      <c r="C89" s="49"/>
      <c r="D89" s="39"/>
      <c r="E89" s="39"/>
      <c r="F89" s="49"/>
      <c r="G89" s="39"/>
      <c r="H89" s="39"/>
      <c r="I89" s="50"/>
      <c r="J89" s="28"/>
      <c r="K89" s="43"/>
      <c r="L89" s="47" t="s">
        <v>338</v>
      </c>
      <c r="M89" s="43"/>
      <c r="N89" s="44"/>
      <c r="O89" s="67"/>
      <c r="P89" s="70"/>
      <c r="Q89" s="71"/>
      <c r="R89" s="71"/>
      <c r="S89" s="72"/>
      <c r="T89" s="67"/>
      <c r="U89" s="42" t="s">
        <v>338</v>
      </c>
      <c r="V89" s="42" t="s">
        <v>338</v>
      </c>
      <c r="W89" s="42" t="s">
        <v>338</v>
      </c>
      <c r="X89" s="45" t="s">
        <v>338</v>
      </c>
    </row>
    <row r="90" spans="2:35" s="29" customFormat="1" ht="33" customHeight="1">
      <c r="B90" s="50"/>
      <c r="C90" s="49"/>
      <c r="D90" s="39"/>
      <c r="E90" s="39"/>
      <c r="F90" s="49"/>
      <c r="G90" s="39"/>
      <c r="H90" s="39"/>
      <c r="I90" s="50"/>
      <c r="J90" s="28"/>
      <c r="K90" s="43"/>
      <c r="L90" s="47" t="s">
        <v>338</v>
      </c>
      <c r="M90" s="43"/>
      <c r="N90" s="44"/>
      <c r="O90" s="67"/>
      <c r="P90" s="70"/>
      <c r="Q90" s="71"/>
      <c r="R90" s="71"/>
      <c r="S90" s="72"/>
      <c r="T90" s="67"/>
      <c r="U90" s="42" t="s">
        <v>338</v>
      </c>
      <c r="V90" s="42" t="s">
        <v>338</v>
      </c>
      <c r="W90" s="42" t="s">
        <v>338</v>
      </c>
      <c r="X90" s="45" t="s">
        <v>338</v>
      </c>
    </row>
    <row r="91" spans="2:35" s="29" customFormat="1" ht="33" customHeight="1">
      <c r="B91" s="50"/>
      <c r="C91" s="49"/>
      <c r="D91" s="39"/>
      <c r="E91" s="39"/>
      <c r="F91" s="49"/>
      <c r="G91" s="39"/>
      <c r="H91" s="39"/>
      <c r="I91" s="50"/>
      <c r="J91" s="28"/>
      <c r="K91" s="43"/>
      <c r="L91" s="47" t="s">
        <v>338</v>
      </c>
      <c r="M91" s="43"/>
      <c r="N91" s="44"/>
      <c r="O91" s="67"/>
      <c r="P91" s="70"/>
      <c r="Q91" s="71"/>
      <c r="R91" s="71"/>
      <c r="S91" s="72"/>
      <c r="T91" s="67"/>
      <c r="U91" s="42" t="s">
        <v>338</v>
      </c>
      <c r="V91" s="42" t="s">
        <v>338</v>
      </c>
      <c r="W91" s="42" t="s">
        <v>338</v>
      </c>
      <c r="X91" s="45" t="s">
        <v>338</v>
      </c>
    </row>
    <row r="92" spans="2:35" s="29" customFormat="1" ht="33" customHeight="1">
      <c r="B92" s="50"/>
      <c r="C92" s="49"/>
      <c r="D92" s="39"/>
      <c r="E92" s="39"/>
      <c r="F92" s="49"/>
      <c r="G92" s="39"/>
      <c r="H92" s="39"/>
      <c r="I92" s="50"/>
      <c r="J92" s="28"/>
      <c r="K92" s="43"/>
      <c r="L92" s="47" t="s">
        <v>338</v>
      </c>
      <c r="M92" s="43"/>
      <c r="N92" s="44"/>
      <c r="O92" s="67"/>
      <c r="P92" s="70"/>
      <c r="Q92" s="71"/>
      <c r="R92" s="71"/>
      <c r="S92" s="72"/>
      <c r="T92" s="67"/>
      <c r="U92" s="42" t="s">
        <v>338</v>
      </c>
      <c r="V92" s="42" t="s">
        <v>338</v>
      </c>
      <c r="W92" s="42" t="s">
        <v>338</v>
      </c>
      <c r="X92" s="45" t="s">
        <v>338</v>
      </c>
    </row>
    <row r="93" spans="2:35" s="29" customFormat="1" ht="33" customHeight="1">
      <c r="B93" s="50"/>
      <c r="C93" s="49"/>
      <c r="D93" s="39"/>
      <c r="E93" s="39"/>
      <c r="F93" s="49"/>
      <c r="G93" s="39"/>
      <c r="H93" s="39"/>
      <c r="I93" s="50"/>
      <c r="J93" s="28"/>
      <c r="K93" s="43"/>
      <c r="L93" s="47" t="s">
        <v>338</v>
      </c>
      <c r="M93" s="43"/>
      <c r="N93" s="44"/>
      <c r="O93" s="67"/>
      <c r="P93" s="70"/>
      <c r="Q93" s="71"/>
      <c r="R93" s="71"/>
      <c r="S93" s="72"/>
      <c r="T93" s="67"/>
      <c r="U93" s="42" t="s">
        <v>338</v>
      </c>
      <c r="V93" s="42" t="s">
        <v>338</v>
      </c>
      <c r="W93" s="42" t="s">
        <v>338</v>
      </c>
      <c r="X93" s="45" t="s">
        <v>338</v>
      </c>
    </row>
    <row r="94" spans="2:35" s="29" customFormat="1" ht="33" customHeight="1">
      <c r="B94" s="50"/>
      <c r="C94" s="49"/>
      <c r="D94" s="39"/>
      <c r="E94" s="39"/>
      <c r="F94" s="49"/>
      <c r="G94" s="39"/>
      <c r="H94" s="39"/>
      <c r="I94" s="50"/>
      <c r="J94" s="28"/>
      <c r="K94" s="43"/>
      <c r="L94" s="47" t="s">
        <v>338</v>
      </c>
      <c r="M94" s="43"/>
      <c r="N94" s="44"/>
      <c r="O94" s="67"/>
      <c r="P94" s="70"/>
      <c r="Q94" s="71"/>
      <c r="R94" s="71"/>
      <c r="S94" s="72"/>
      <c r="T94" s="67"/>
      <c r="U94" s="42" t="s">
        <v>338</v>
      </c>
      <c r="V94" s="42" t="s">
        <v>338</v>
      </c>
      <c r="W94" s="42" t="s">
        <v>338</v>
      </c>
      <c r="X94" s="45" t="s">
        <v>338</v>
      </c>
    </row>
    <row r="95" spans="2:35" s="29" customFormat="1" ht="33" customHeight="1">
      <c r="B95" s="50"/>
      <c r="C95" s="49"/>
      <c r="D95" s="39"/>
      <c r="E95" s="39"/>
      <c r="F95" s="49"/>
      <c r="G95" s="39"/>
      <c r="H95" s="39"/>
      <c r="I95" s="50"/>
      <c r="J95" s="28"/>
      <c r="K95" s="43"/>
      <c r="L95" s="47" t="s">
        <v>338</v>
      </c>
      <c r="M95" s="43"/>
      <c r="N95" s="44"/>
      <c r="O95" s="67"/>
      <c r="P95" s="70"/>
      <c r="Q95" s="71"/>
      <c r="R95" s="71"/>
      <c r="S95" s="72"/>
      <c r="T95" s="67"/>
      <c r="U95" s="42" t="s">
        <v>338</v>
      </c>
      <c r="V95" s="42" t="s">
        <v>338</v>
      </c>
      <c r="W95" s="42" t="s">
        <v>338</v>
      </c>
      <c r="X95" s="45" t="s">
        <v>338</v>
      </c>
    </row>
    <row r="96" spans="2:35" s="29" customFormat="1" ht="33" customHeight="1">
      <c r="B96" s="50"/>
      <c r="C96" s="49"/>
      <c r="D96" s="39"/>
      <c r="E96" s="39"/>
      <c r="F96" s="49"/>
      <c r="G96" s="39"/>
      <c r="H96" s="39"/>
      <c r="I96" s="50"/>
      <c r="J96" s="28"/>
      <c r="K96" s="43"/>
      <c r="L96" s="47" t="s">
        <v>338</v>
      </c>
      <c r="M96" s="43"/>
      <c r="N96" s="44"/>
      <c r="O96" s="67"/>
      <c r="P96" s="70"/>
      <c r="Q96" s="71"/>
      <c r="R96" s="71"/>
      <c r="S96" s="72"/>
      <c r="T96" s="67"/>
      <c r="U96" s="42" t="s">
        <v>338</v>
      </c>
      <c r="V96" s="42" t="s">
        <v>338</v>
      </c>
      <c r="W96" s="42" t="s">
        <v>338</v>
      </c>
      <c r="X96" s="45" t="s">
        <v>338</v>
      </c>
    </row>
    <row r="97" spans="2:24" s="29" customFormat="1" ht="33" customHeight="1">
      <c r="B97" s="50"/>
      <c r="C97" s="49"/>
      <c r="D97" s="39"/>
      <c r="E97" s="39"/>
      <c r="F97" s="49"/>
      <c r="G97" s="39"/>
      <c r="H97" s="39"/>
      <c r="I97" s="50"/>
      <c r="J97" s="28"/>
      <c r="K97" s="43"/>
      <c r="L97" s="47" t="s">
        <v>338</v>
      </c>
      <c r="M97" s="43"/>
      <c r="N97" s="44"/>
      <c r="O97" s="67"/>
      <c r="P97" s="70"/>
      <c r="Q97" s="71"/>
      <c r="R97" s="71"/>
      <c r="S97" s="72"/>
      <c r="T97" s="67"/>
      <c r="U97" s="42" t="s">
        <v>338</v>
      </c>
      <c r="V97" s="42" t="s">
        <v>338</v>
      </c>
      <c r="W97" s="42" t="s">
        <v>338</v>
      </c>
      <c r="X97" s="45" t="s">
        <v>338</v>
      </c>
    </row>
    <row r="98" spans="2:24" s="29" customFormat="1" ht="33" customHeight="1">
      <c r="B98" s="50"/>
      <c r="C98" s="49"/>
      <c r="D98" s="39"/>
      <c r="E98" s="39"/>
      <c r="F98" s="49"/>
      <c r="G98" s="39"/>
      <c r="H98" s="39"/>
      <c r="I98" s="50"/>
      <c r="J98" s="28"/>
      <c r="K98" s="43"/>
      <c r="L98" s="47" t="s">
        <v>338</v>
      </c>
      <c r="M98" s="43"/>
      <c r="N98" s="44"/>
      <c r="O98" s="67"/>
      <c r="P98" s="70"/>
      <c r="Q98" s="71"/>
      <c r="R98" s="71"/>
      <c r="S98" s="72"/>
      <c r="T98" s="67"/>
      <c r="U98" s="42" t="s">
        <v>338</v>
      </c>
      <c r="V98" s="42" t="s">
        <v>338</v>
      </c>
      <c r="W98" s="42" t="s">
        <v>338</v>
      </c>
      <c r="X98" s="45" t="s">
        <v>338</v>
      </c>
    </row>
    <row r="99" spans="2:24" s="29" customFormat="1" ht="33" customHeight="1">
      <c r="B99" s="50"/>
      <c r="C99" s="49"/>
      <c r="D99" s="39"/>
      <c r="E99" s="39"/>
      <c r="F99" s="49"/>
      <c r="G99" s="39"/>
      <c r="H99" s="39"/>
      <c r="I99" s="50"/>
      <c r="J99" s="28"/>
      <c r="K99" s="43"/>
      <c r="L99" s="47" t="s">
        <v>338</v>
      </c>
      <c r="M99" s="43"/>
      <c r="N99" s="44"/>
      <c r="O99" s="67"/>
      <c r="P99" s="70"/>
      <c r="Q99" s="71"/>
      <c r="R99" s="71"/>
      <c r="S99" s="72"/>
      <c r="T99" s="67"/>
      <c r="U99" s="42" t="s">
        <v>338</v>
      </c>
      <c r="V99" s="42" t="s">
        <v>338</v>
      </c>
      <c r="W99" s="42" t="s">
        <v>338</v>
      </c>
      <c r="X99" s="45" t="s">
        <v>338</v>
      </c>
    </row>
    <row r="100" spans="2:24" s="29" customFormat="1" ht="33" customHeight="1">
      <c r="B100" s="50"/>
      <c r="C100" s="49"/>
      <c r="D100" s="39"/>
      <c r="E100" s="39"/>
      <c r="F100" s="49"/>
      <c r="G100" s="39"/>
      <c r="H100" s="39"/>
      <c r="I100" s="50"/>
      <c r="J100" s="28"/>
      <c r="K100" s="43"/>
      <c r="L100" s="47" t="s">
        <v>338</v>
      </c>
      <c r="M100" s="43"/>
      <c r="N100" s="44"/>
      <c r="O100" s="67"/>
      <c r="P100" s="70"/>
      <c r="Q100" s="71"/>
      <c r="R100" s="71"/>
      <c r="S100" s="72"/>
      <c r="T100" s="67"/>
      <c r="U100" s="42" t="s">
        <v>338</v>
      </c>
      <c r="V100" s="42" t="s">
        <v>338</v>
      </c>
      <c r="W100" s="42" t="s">
        <v>338</v>
      </c>
      <c r="X100" s="45" t="s">
        <v>338</v>
      </c>
    </row>
    <row r="101" spans="2:24" s="29" customFormat="1" ht="33" customHeight="1">
      <c r="B101" s="50"/>
      <c r="C101" s="49"/>
      <c r="D101" s="39"/>
      <c r="E101" s="39"/>
      <c r="F101" s="49"/>
      <c r="G101" s="39"/>
      <c r="H101" s="39"/>
      <c r="I101" s="50"/>
      <c r="J101" s="28"/>
      <c r="K101" s="43"/>
      <c r="L101" s="47" t="s">
        <v>338</v>
      </c>
      <c r="M101" s="43"/>
      <c r="N101" s="44"/>
      <c r="O101" s="67"/>
      <c r="P101" s="70"/>
      <c r="Q101" s="71"/>
      <c r="R101" s="71"/>
      <c r="S101" s="72"/>
      <c r="T101" s="67"/>
      <c r="U101" s="42" t="s">
        <v>338</v>
      </c>
      <c r="V101" s="42" t="s">
        <v>338</v>
      </c>
      <c r="W101" s="42" t="s">
        <v>338</v>
      </c>
      <c r="X101" s="45" t="s">
        <v>338</v>
      </c>
    </row>
    <row r="102" spans="2:24" s="29" customFormat="1" ht="33" customHeight="1">
      <c r="B102" s="50"/>
      <c r="C102" s="49"/>
      <c r="D102" s="39"/>
      <c r="E102" s="39"/>
      <c r="F102" s="49"/>
      <c r="G102" s="39"/>
      <c r="H102" s="39"/>
      <c r="I102" s="50"/>
      <c r="J102" s="28"/>
      <c r="K102" s="43"/>
      <c r="L102" s="47" t="s">
        <v>338</v>
      </c>
      <c r="M102" s="43"/>
      <c r="N102" s="44"/>
      <c r="O102" s="67"/>
      <c r="P102" s="70"/>
      <c r="Q102" s="71"/>
      <c r="R102" s="71"/>
      <c r="S102" s="72"/>
      <c r="T102" s="67"/>
      <c r="U102" s="42" t="s">
        <v>338</v>
      </c>
      <c r="V102" s="42" t="s">
        <v>338</v>
      </c>
      <c r="W102" s="42" t="s">
        <v>338</v>
      </c>
      <c r="X102" s="45" t="s">
        <v>338</v>
      </c>
    </row>
    <row r="103" spans="2:24" s="29" customFormat="1" ht="33" customHeight="1">
      <c r="B103" s="50"/>
      <c r="C103" s="49"/>
      <c r="D103" s="39"/>
      <c r="E103" s="39"/>
      <c r="F103" s="49"/>
      <c r="G103" s="39"/>
      <c r="H103" s="39"/>
      <c r="I103" s="50"/>
      <c r="J103" s="28"/>
      <c r="K103" s="43"/>
      <c r="L103" s="47" t="s">
        <v>338</v>
      </c>
      <c r="M103" s="43"/>
      <c r="N103" s="44"/>
      <c r="O103" s="67"/>
      <c r="P103" s="70"/>
      <c r="Q103" s="71"/>
      <c r="R103" s="71"/>
      <c r="S103" s="72"/>
      <c r="T103" s="67"/>
      <c r="U103" s="42" t="s">
        <v>338</v>
      </c>
      <c r="V103" s="42" t="s">
        <v>338</v>
      </c>
      <c r="W103" s="42" t="s">
        <v>338</v>
      </c>
      <c r="X103" s="45" t="s">
        <v>338</v>
      </c>
    </row>
    <row r="104" spans="2:24" s="29" customFormat="1" ht="33" customHeight="1">
      <c r="B104" s="50"/>
      <c r="C104" s="49"/>
      <c r="D104" s="39"/>
      <c r="E104" s="39"/>
      <c r="F104" s="49"/>
      <c r="G104" s="39"/>
      <c r="H104" s="39"/>
      <c r="I104" s="50"/>
      <c r="J104" s="28"/>
      <c r="K104" s="43"/>
      <c r="L104" s="47" t="s">
        <v>338</v>
      </c>
      <c r="M104" s="43"/>
      <c r="N104" s="44"/>
      <c r="O104" s="67"/>
      <c r="P104" s="70"/>
      <c r="Q104" s="71"/>
      <c r="R104" s="71"/>
      <c r="S104" s="72"/>
      <c r="T104" s="67"/>
      <c r="U104" s="42" t="s">
        <v>338</v>
      </c>
      <c r="V104" s="42" t="s">
        <v>338</v>
      </c>
      <c r="W104" s="42" t="s">
        <v>338</v>
      </c>
      <c r="X104" s="45" t="s">
        <v>338</v>
      </c>
    </row>
    <row r="105" spans="2:24" s="29" customFormat="1" ht="33" customHeight="1">
      <c r="B105" s="50"/>
      <c r="C105" s="49"/>
      <c r="D105" s="39"/>
      <c r="E105" s="39"/>
      <c r="F105" s="49"/>
      <c r="G105" s="39"/>
      <c r="H105" s="39"/>
      <c r="I105" s="50"/>
      <c r="J105" s="28"/>
      <c r="K105" s="43"/>
      <c r="L105" s="47" t="s">
        <v>338</v>
      </c>
      <c r="M105" s="43"/>
      <c r="N105" s="44"/>
      <c r="O105" s="67"/>
      <c r="P105" s="70"/>
      <c r="Q105" s="71"/>
      <c r="R105" s="71"/>
      <c r="S105" s="72"/>
      <c r="T105" s="67"/>
      <c r="U105" s="42" t="s">
        <v>338</v>
      </c>
      <c r="V105" s="42" t="s">
        <v>338</v>
      </c>
      <c r="W105" s="42" t="s">
        <v>338</v>
      </c>
      <c r="X105" s="45" t="s">
        <v>338</v>
      </c>
    </row>
    <row r="106" spans="2:24" s="29" customFormat="1" ht="33" customHeight="1">
      <c r="B106" s="50"/>
      <c r="C106" s="49"/>
      <c r="D106" s="39"/>
      <c r="E106" s="39"/>
      <c r="F106" s="49"/>
      <c r="G106" s="39"/>
      <c r="H106" s="39"/>
      <c r="I106" s="50"/>
      <c r="J106" s="28"/>
      <c r="K106" s="43"/>
      <c r="L106" s="47" t="s">
        <v>338</v>
      </c>
      <c r="M106" s="43"/>
      <c r="N106" s="44"/>
      <c r="O106" s="67"/>
      <c r="P106" s="70"/>
      <c r="Q106" s="71"/>
      <c r="R106" s="71"/>
      <c r="S106" s="72"/>
      <c r="T106" s="67"/>
      <c r="U106" s="42" t="s">
        <v>338</v>
      </c>
      <c r="V106" s="42" t="s">
        <v>338</v>
      </c>
      <c r="W106" s="42" t="s">
        <v>338</v>
      </c>
      <c r="X106" s="45" t="s">
        <v>338</v>
      </c>
    </row>
    <row r="107" spans="2:24" s="29" customFormat="1" ht="33" customHeight="1">
      <c r="B107" s="50"/>
      <c r="C107" s="49"/>
      <c r="D107" s="39"/>
      <c r="E107" s="39"/>
      <c r="F107" s="49"/>
      <c r="G107" s="39"/>
      <c r="H107" s="39"/>
      <c r="I107" s="50"/>
      <c r="J107" s="28"/>
      <c r="K107" s="43"/>
      <c r="L107" s="47" t="s">
        <v>338</v>
      </c>
      <c r="M107" s="43"/>
      <c r="N107" s="44"/>
      <c r="O107" s="67"/>
      <c r="P107" s="70"/>
      <c r="Q107" s="71"/>
      <c r="R107" s="71"/>
      <c r="S107" s="72"/>
      <c r="T107" s="67"/>
      <c r="U107" s="42" t="s">
        <v>338</v>
      </c>
      <c r="V107" s="42" t="s">
        <v>338</v>
      </c>
      <c r="W107" s="42" t="s">
        <v>338</v>
      </c>
      <c r="X107" s="45" t="s">
        <v>338</v>
      </c>
    </row>
    <row r="108" spans="2:24" s="29" customFormat="1" ht="33" customHeight="1">
      <c r="B108" s="50"/>
      <c r="C108" s="49"/>
      <c r="D108" s="39"/>
      <c r="E108" s="39"/>
      <c r="F108" s="49"/>
      <c r="G108" s="39"/>
      <c r="H108" s="39"/>
      <c r="I108" s="50"/>
      <c r="J108" s="28"/>
      <c r="K108" s="43"/>
      <c r="L108" s="47" t="s">
        <v>338</v>
      </c>
      <c r="M108" s="43"/>
      <c r="N108" s="44"/>
      <c r="O108" s="67"/>
      <c r="P108" s="70"/>
      <c r="Q108" s="71"/>
      <c r="R108" s="71"/>
      <c r="S108" s="72"/>
      <c r="T108" s="67"/>
      <c r="U108" s="42" t="s">
        <v>338</v>
      </c>
      <c r="V108" s="42" t="s">
        <v>338</v>
      </c>
      <c r="W108" s="42" t="s">
        <v>338</v>
      </c>
      <c r="X108" s="45" t="s">
        <v>338</v>
      </c>
    </row>
    <row r="109" spans="2:24" s="29" customFormat="1" ht="33" customHeight="1">
      <c r="B109" s="50"/>
      <c r="C109" s="49"/>
      <c r="D109" s="39"/>
      <c r="E109" s="39"/>
      <c r="F109" s="49"/>
      <c r="G109" s="39"/>
      <c r="H109" s="39"/>
      <c r="I109" s="50"/>
      <c r="J109" s="28"/>
      <c r="K109" s="43"/>
      <c r="L109" s="47" t="s">
        <v>338</v>
      </c>
      <c r="M109" s="43"/>
      <c r="N109" s="44"/>
      <c r="O109" s="67"/>
      <c r="P109" s="70"/>
      <c r="Q109" s="71"/>
      <c r="R109" s="71"/>
      <c r="S109" s="72"/>
      <c r="T109" s="67"/>
      <c r="U109" s="42" t="s">
        <v>338</v>
      </c>
      <c r="V109" s="42" t="s">
        <v>338</v>
      </c>
      <c r="W109" s="42" t="s">
        <v>338</v>
      </c>
      <c r="X109" s="45" t="s">
        <v>338</v>
      </c>
    </row>
    <row r="110" spans="2:24" s="29" customFormat="1" ht="33" customHeight="1">
      <c r="B110" s="50"/>
      <c r="C110" s="49"/>
      <c r="D110" s="39"/>
      <c r="E110" s="39"/>
      <c r="F110" s="49"/>
      <c r="G110" s="39"/>
      <c r="H110" s="39"/>
      <c r="I110" s="50"/>
      <c r="J110" s="28"/>
      <c r="K110" s="43"/>
      <c r="L110" s="47" t="s">
        <v>338</v>
      </c>
      <c r="M110" s="43"/>
      <c r="N110" s="44"/>
      <c r="O110" s="67"/>
      <c r="P110" s="70"/>
      <c r="Q110" s="71"/>
      <c r="R110" s="71"/>
      <c r="S110" s="72"/>
      <c r="T110" s="67"/>
      <c r="U110" s="42" t="s">
        <v>338</v>
      </c>
      <c r="V110" s="42" t="s">
        <v>338</v>
      </c>
      <c r="W110" s="42" t="s">
        <v>338</v>
      </c>
      <c r="X110" s="45" t="s">
        <v>338</v>
      </c>
    </row>
    <row r="111" spans="2:24" s="29" customFormat="1" ht="33" customHeight="1">
      <c r="B111" s="50"/>
      <c r="C111" s="49"/>
      <c r="D111" s="39"/>
      <c r="E111" s="39"/>
      <c r="F111" s="49"/>
      <c r="G111" s="39"/>
      <c r="H111" s="39"/>
      <c r="I111" s="50"/>
      <c r="J111" s="28"/>
      <c r="K111" s="43"/>
      <c r="L111" s="47" t="s">
        <v>338</v>
      </c>
      <c r="M111" s="43"/>
      <c r="N111" s="44"/>
      <c r="O111" s="67"/>
      <c r="P111" s="70"/>
      <c r="Q111" s="71"/>
      <c r="R111" s="71"/>
      <c r="S111" s="72"/>
      <c r="T111" s="67"/>
      <c r="U111" s="42" t="s">
        <v>338</v>
      </c>
      <c r="V111" s="42" t="s">
        <v>338</v>
      </c>
      <c r="W111" s="42" t="s">
        <v>338</v>
      </c>
      <c r="X111" s="45" t="s">
        <v>338</v>
      </c>
    </row>
    <row r="112" spans="2:24" s="29" customFormat="1" ht="33" customHeight="1">
      <c r="B112" s="50"/>
      <c r="C112" s="49"/>
      <c r="D112" s="39"/>
      <c r="E112" s="39"/>
      <c r="F112" s="49"/>
      <c r="G112" s="39"/>
      <c r="H112" s="39"/>
      <c r="I112" s="50"/>
      <c r="J112" s="28"/>
      <c r="K112" s="43"/>
      <c r="L112" s="47" t="s">
        <v>338</v>
      </c>
      <c r="M112" s="43"/>
      <c r="N112" s="44"/>
      <c r="O112" s="67"/>
      <c r="P112" s="70"/>
      <c r="Q112" s="71"/>
      <c r="R112" s="71"/>
      <c r="S112" s="72"/>
      <c r="T112" s="67"/>
      <c r="U112" s="42" t="s">
        <v>338</v>
      </c>
      <c r="V112" s="42" t="s">
        <v>338</v>
      </c>
      <c r="W112" s="42" t="s">
        <v>338</v>
      </c>
      <c r="X112" s="45" t="s">
        <v>338</v>
      </c>
    </row>
    <row r="113" spans="2:24" s="29" customFormat="1" ht="33" customHeight="1">
      <c r="B113" s="50"/>
      <c r="C113" s="49"/>
      <c r="D113" s="39"/>
      <c r="E113" s="39"/>
      <c r="F113" s="49"/>
      <c r="G113" s="39"/>
      <c r="H113" s="39"/>
      <c r="I113" s="50"/>
      <c r="J113" s="28"/>
      <c r="K113" s="43"/>
      <c r="L113" s="47" t="s">
        <v>338</v>
      </c>
      <c r="M113" s="43"/>
      <c r="N113" s="44"/>
      <c r="O113" s="67"/>
      <c r="P113" s="70"/>
      <c r="Q113" s="71"/>
      <c r="R113" s="71"/>
      <c r="S113" s="72"/>
      <c r="T113" s="67"/>
      <c r="U113" s="42" t="s">
        <v>338</v>
      </c>
      <c r="V113" s="42" t="s">
        <v>338</v>
      </c>
      <c r="W113" s="42" t="s">
        <v>338</v>
      </c>
      <c r="X113" s="45" t="s">
        <v>338</v>
      </c>
    </row>
    <row r="114" spans="2:24" s="29" customFormat="1" ht="33" customHeight="1">
      <c r="B114" s="50"/>
      <c r="C114" s="49"/>
      <c r="D114" s="39"/>
      <c r="E114" s="39"/>
      <c r="F114" s="49"/>
      <c r="G114" s="39"/>
      <c r="H114" s="39"/>
      <c r="I114" s="50"/>
      <c r="J114" s="28"/>
      <c r="K114" s="43"/>
      <c r="L114" s="47" t="s">
        <v>338</v>
      </c>
      <c r="M114" s="43"/>
      <c r="N114" s="44"/>
      <c r="O114" s="67"/>
      <c r="P114" s="70"/>
      <c r="Q114" s="71"/>
      <c r="R114" s="71"/>
      <c r="S114" s="72"/>
      <c r="T114" s="67"/>
      <c r="U114" s="42" t="s">
        <v>338</v>
      </c>
      <c r="V114" s="42" t="s">
        <v>338</v>
      </c>
      <c r="W114" s="42" t="s">
        <v>338</v>
      </c>
      <c r="X114" s="45" t="s">
        <v>338</v>
      </c>
    </row>
    <row r="115" spans="2:24" s="29" customFormat="1" ht="33" customHeight="1">
      <c r="B115" s="50"/>
      <c r="C115" s="49"/>
      <c r="D115" s="39"/>
      <c r="E115" s="39"/>
      <c r="F115" s="49"/>
      <c r="G115" s="39"/>
      <c r="H115" s="39"/>
      <c r="I115" s="50"/>
      <c r="J115" s="28"/>
      <c r="K115" s="43"/>
      <c r="L115" s="47" t="s">
        <v>338</v>
      </c>
      <c r="M115" s="43"/>
      <c r="N115" s="44"/>
      <c r="O115" s="67"/>
      <c r="P115" s="70"/>
      <c r="Q115" s="71"/>
      <c r="R115" s="71"/>
      <c r="S115" s="72"/>
      <c r="T115" s="67"/>
      <c r="U115" s="42" t="s">
        <v>338</v>
      </c>
      <c r="V115" s="42" t="s">
        <v>338</v>
      </c>
      <c r="W115" s="42" t="s">
        <v>338</v>
      </c>
      <c r="X115" s="45" t="s">
        <v>338</v>
      </c>
    </row>
    <row r="116" spans="2:24" s="29" customFormat="1" ht="33" customHeight="1">
      <c r="B116" s="50"/>
      <c r="C116" s="49"/>
      <c r="D116" s="39"/>
      <c r="E116" s="39"/>
      <c r="F116" s="49"/>
      <c r="G116" s="39"/>
      <c r="H116" s="39"/>
      <c r="I116" s="50"/>
      <c r="J116" s="28"/>
      <c r="K116" s="43"/>
      <c r="L116" s="47" t="s">
        <v>338</v>
      </c>
      <c r="M116" s="43"/>
      <c r="N116" s="44"/>
      <c r="O116" s="67"/>
      <c r="P116" s="70"/>
      <c r="Q116" s="71"/>
      <c r="R116" s="71"/>
      <c r="S116" s="72"/>
      <c r="T116" s="67"/>
      <c r="U116" s="42" t="s">
        <v>338</v>
      </c>
      <c r="V116" s="42" t="s">
        <v>338</v>
      </c>
      <c r="W116" s="42" t="s">
        <v>338</v>
      </c>
      <c r="X116" s="45" t="s">
        <v>338</v>
      </c>
    </row>
    <row r="117" spans="2:24" s="29" customFormat="1" ht="33" customHeight="1">
      <c r="B117" s="50"/>
      <c r="C117" s="49"/>
      <c r="D117" s="39"/>
      <c r="E117" s="39"/>
      <c r="F117" s="49"/>
      <c r="G117" s="39"/>
      <c r="H117" s="39"/>
      <c r="I117" s="50"/>
      <c r="J117" s="28"/>
      <c r="K117" s="43"/>
      <c r="L117" s="47" t="s">
        <v>338</v>
      </c>
      <c r="M117" s="43"/>
      <c r="N117" s="44"/>
      <c r="O117" s="67"/>
      <c r="P117" s="70"/>
      <c r="Q117" s="71"/>
      <c r="R117" s="71"/>
      <c r="S117" s="72"/>
      <c r="T117" s="67"/>
      <c r="U117" s="42" t="s">
        <v>338</v>
      </c>
      <c r="V117" s="42" t="s">
        <v>338</v>
      </c>
      <c r="W117" s="42" t="s">
        <v>338</v>
      </c>
      <c r="X117" s="45" t="s">
        <v>338</v>
      </c>
    </row>
    <row r="118" spans="2:24" s="29" customFormat="1" ht="33" customHeight="1">
      <c r="B118" s="50"/>
      <c r="C118" s="49"/>
      <c r="D118" s="39"/>
      <c r="E118" s="39"/>
      <c r="F118" s="49"/>
      <c r="G118" s="39"/>
      <c r="H118" s="39"/>
      <c r="I118" s="50"/>
      <c r="J118" s="28"/>
      <c r="K118" s="43"/>
      <c r="L118" s="47" t="s">
        <v>338</v>
      </c>
      <c r="M118" s="43"/>
      <c r="N118" s="44"/>
      <c r="O118" s="67"/>
      <c r="P118" s="70"/>
      <c r="Q118" s="71"/>
      <c r="R118" s="71"/>
      <c r="S118" s="72"/>
      <c r="T118" s="67"/>
      <c r="U118" s="42" t="s">
        <v>338</v>
      </c>
      <c r="V118" s="42" t="s">
        <v>338</v>
      </c>
      <c r="W118" s="42" t="s">
        <v>338</v>
      </c>
      <c r="X118" s="45" t="s">
        <v>338</v>
      </c>
    </row>
    <row r="119" spans="2:24" s="29" customFormat="1" ht="33" customHeight="1">
      <c r="B119" s="50"/>
      <c r="C119" s="49"/>
      <c r="D119" s="39"/>
      <c r="E119" s="39"/>
      <c r="F119" s="49"/>
      <c r="G119" s="39"/>
      <c r="H119" s="39"/>
      <c r="I119" s="50"/>
      <c r="J119" s="28"/>
      <c r="K119" s="43"/>
      <c r="L119" s="47" t="s">
        <v>338</v>
      </c>
      <c r="M119" s="43"/>
      <c r="N119" s="44"/>
      <c r="O119" s="67"/>
      <c r="P119" s="70"/>
      <c r="Q119" s="71"/>
      <c r="R119" s="71"/>
      <c r="S119" s="72"/>
      <c r="T119" s="67"/>
      <c r="U119" s="42" t="s">
        <v>338</v>
      </c>
      <c r="V119" s="42" t="s">
        <v>338</v>
      </c>
      <c r="W119" s="42" t="s">
        <v>338</v>
      </c>
      <c r="X119" s="45" t="s">
        <v>338</v>
      </c>
    </row>
    <row r="120" spans="2:24" s="29" customFormat="1" ht="33" customHeight="1">
      <c r="B120" s="50"/>
      <c r="C120" s="49"/>
      <c r="D120" s="39"/>
      <c r="E120" s="39"/>
      <c r="F120" s="49"/>
      <c r="G120" s="39"/>
      <c r="H120" s="39"/>
      <c r="I120" s="50"/>
      <c r="J120" s="28"/>
      <c r="K120" s="43"/>
      <c r="L120" s="47" t="s">
        <v>338</v>
      </c>
      <c r="M120" s="43"/>
      <c r="N120" s="44"/>
      <c r="O120" s="67"/>
      <c r="P120" s="70"/>
      <c r="Q120" s="71"/>
      <c r="R120" s="71"/>
      <c r="S120" s="72"/>
      <c r="T120" s="67"/>
      <c r="U120" s="42" t="s">
        <v>338</v>
      </c>
      <c r="V120" s="42" t="s">
        <v>338</v>
      </c>
      <c r="W120" s="42" t="s">
        <v>338</v>
      </c>
      <c r="X120" s="45" t="s">
        <v>338</v>
      </c>
    </row>
    <row r="121" spans="2:24" s="29" customFormat="1" ht="33" customHeight="1">
      <c r="B121" s="50"/>
      <c r="C121" s="49"/>
      <c r="D121" s="39"/>
      <c r="E121" s="39"/>
      <c r="F121" s="49"/>
      <c r="G121" s="39"/>
      <c r="H121" s="39"/>
      <c r="I121" s="50"/>
      <c r="J121" s="28"/>
      <c r="K121" s="43"/>
      <c r="L121" s="47" t="s">
        <v>338</v>
      </c>
      <c r="M121" s="43"/>
      <c r="N121" s="44"/>
      <c r="O121" s="67"/>
      <c r="P121" s="70"/>
      <c r="Q121" s="71"/>
      <c r="R121" s="71"/>
      <c r="S121" s="72"/>
      <c r="T121" s="67"/>
      <c r="U121" s="42" t="s">
        <v>338</v>
      </c>
      <c r="V121" s="42" t="s">
        <v>338</v>
      </c>
      <c r="W121" s="42" t="s">
        <v>338</v>
      </c>
      <c r="X121" s="45" t="s">
        <v>338</v>
      </c>
    </row>
    <row r="122" spans="2:24" s="29" customFormat="1" ht="33" customHeight="1">
      <c r="B122" s="50"/>
      <c r="C122" s="49"/>
      <c r="D122" s="39"/>
      <c r="E122" s="39"/>
      <c r="F122" s="49"/>
      <c r="G122" s="39"/>
      <c r="H122" s="39"/>
      <c r="I122" s="50"/>
      <c r="J122" s="28"/>
      <c r="K122" s="43"/>
      <c r="L122" s="47" t="s">
        <v>338</v>
      </c>
      <c r="M122" s="43"/>
      <c r="N122" s="44"/>
      <c r="O122" s="67"/>
      <c r="P122" s="70"/>
      <c r="Q122" s="71"/>
      <c r="R122" s="71"/>
      <c r="S122" s="72"/>
      <c r="T122" s="67"/>
      <c r="U122" s="42" t="s">
        <v>338</v>
      </c>
      <c r="V122" s="42" t="s">
        <v>338</v>
      </c>
      <c r="W122" s="42" t="s">
        <v>338</v>
      </c>
      <c r="X122" s="45" t="s">
        <v>338</v>
      </c>
    </row>
    <row r="123" spans="2:24" s="29" customFormat="1" ht="33" customHeight="1">
      <c r="B123" s="50"/>
      <c r="C123" s="49"/>
      <c r="D123" s="39"/>
      <c r="E123" s="39"/>
      <c r="F123" s="49"/>
      <c r="G123" s="39"/>
      <c r="H123" s="39"/>
      <c r="I123" s="50"/>
      <c r="J123" s="28"/>
      <c r="K123" s="43"/>
      <c r="L123" s="47" t="s">
        <v>338</v>
      </c>
      <c r="M123" s="43"/>
      <c r="N123" s="44"/>
      <c r="O123" s="67"/>
      <c r="P123" s="70"/>
      <c r="Q123" s="71"/>
      <c r="R123" s="71"/>
      <c r="S123" s="72"/>
      <c r="T123" s="67"/>
      <c r="U123" s="42" t="s">
        <v>338</v>
      </c>
      <c r="V123" s="42" t="s">
        <v>338</v>
      </c>
      <c r="W123" s="42" t="s">
        <v>338</v>
      </c>
      <c r="X123" s="45" t="s">
        <v>338</v>
      </c>
    </row>
    <row r="124" spans="2:24" s="29" customFormat="1" ht="33" customHeight="1">
      <c r="B124" s="50"/>
      <c r="C124" s="49"/>
      <c r="D124" s="39"/>
      <c r="E124" s="39"/>
      <c r="F124" s="49"/>
      <c r="G124" s="39"/>
      <c r="H124" s="39"/>
      <c r="I124" s="50"/>
      <c r="J124" s="28"/>
      <c r="K124" s="43"/>
      <c r="L124" s="47" t="s">
        <v>338</v>
      </c>
      <c r="M124" s="43"/>
      <c r="N124" s="44"/>
      <c r="O124" s="67"/>
      <c r="P124" s="70"/>
      <c r="Q124" s="71"/>
      <c r="R124" s="71"/>
      <c r="S124" s="72"/>
      <c r="T124" s="67"/>
      <c r="U124" s="42" t="s">
        <v>338</v>
      </c>
      <c r="V124" s="42" t="s">
        <v>338</v>
      </c>
      <c r="W124" s="42" t="s">
        <v>338</v>
      </c>
      <c r="X124" s="45" t="s">
        <v>338</v>
      </c>
    </row>
    <row r="125" spans="2:24" s="29" customFormat="1" ht="33" customHeight="1">
      <c r="B125" s="50"/>
      <c r="C125" s="49"/>
      <c r="D125" s="39"/>
      <c r="E125" s="39"/>
      <c r="F125" s="49"/>
      <c r="G125" s="39"/>
      <c r="H125" s="39"/>
      <c r="I125" s="50"/>
      <c r="J125" s="28"/>
      <c r="K125" s="43"/>
      <c r="L125" s="47" t="s">
        <v>338</v>
      </c>
      <c r="M125" s="43"/>
      <c r="N125" s="44"/>
      <c r="O125" s="67"/>
      <c r="P125" s="70"/>
      <c r="Q125" s="71"/>
      <c r="R125" s="71"/>
      <c r="S125" s="72"/>
      <c r="T125" s="67"/>
      <c r="U125" s="42" t="s">
        <v>338</v>
      </c>
      <c r="V125" s="42" t="s">
        <v>338</v>
      </c>
      <c r="W125" s="42" t="s">
        <v>338</v>
      </c>
      <c r="X125" s="45" t="s">
        <v>338</v>
      </c>
    </row>
    <row r="126" spans="2:24" s="29" customFormat="1" ht="33" customHeight="1">
      <c r="B126" s="50"/>
      <c r="C126" s="49"/>
      <c r="D126" s="39"/>
      <c r="E126" s="39"/>
      <c r="F126" s="49"/>
      <c r="G126" s="39"/>
      <c r="H126" s="39"/>
      <c r="I126" s="50"/>
      <c r="J126" s="28"/>
      <c r="K126" s="43"/>
      <c r="L126" s="47" t="s">
        <v>338</v>
      </c>
      <c r="M126" s="43"/>
      <c r="N126" s="44"/>
      <c r="O126" s="67"/>
      <c r="P126" s="70"/>
      <c r="Q126" s="71"/>
      <c r="R126" s="71"/>
      <c r="S126" s="72"/>
      <c r="T126" s="67"/>
      <c r="U126" s="42" t="s">
        <v>338</v>
      </c>
      <c r="V126" s="42" t="s">
        <v>338</v>
      </c>
      <c r="W126" s="42" t="s">
        <v>338</v>
      </c>
      <c r="X126" s="45" t="s">
        <v>338</v>
      </c>
    </row>
    <row r="127" spans="2:24" s="29" customFormat="1" ht="33" customHeight="1">
      <c r="B127" s="50"/>
      <c r="C127" s="49"/>
      <c r="D127" s="39"/>
      <c r="E127" s="39"/>
      <c r="F127" s="49"/>
      <c r="G127" s="39"/>
      <c r="H127" s="39"/>
      <c r="I127" s="50"/>
      <c r="J127" s="28"/>
      <c r="K127" s="43"/>
      <c r="L127" s="47" t="s">
        <v>338</v>
      </c>
      <c r="M127" s="43"/>
      <c r="N127" s="44"/>
      <c r="O127" s="67"/>
      <c r="P127" s="70"/>
      <c r="Q127" s="71"/>
      <c r="R127" s="71"/>
      <c r="S127" s="72"/>
      <c r="T127" s="67"/>
      <c r="U127" s="42" t="s">
        <v>338</v>
      </c>
      <c r="V127" s="42" t="s">
        <v>338</v>
      </c>
      <c r="W127" s="42" t="s">
        <v>338</v>
      </c>
      <c r="X127" s="45" t="s">
        <v>338</v>
      </c>
    </row>
    <row r="128" spans="2:24" s="29" customFormat="1" ht="33" customHeight="1">
      <c r="B128" s="50"/>
      <c r="C128" s="49"/>
      <c r="D128" s="39"/>
      <c r="E128" s="39"/>
      <c r="F128" s="49"/>
      <c r="G128" s="39"/>
      <c r="H128" s="39"/>
      <c r="I128" s="50"/>
      <c r="J128" s="28"/>
      <c r="K128" s="43"/>
      <c r="L128" s="47" t="s">
        <v>338</v>
      </c>
      <c r="M128" s="43"/>
      <c r="N128" s="44"/>
      <c r="O128" s="67"/>
      <c r="P128" s="70"/>
      <c r="Q128" s="71"/>
      <c r="R128" s="71"/>
      <c r="S128" s="72"/>
      <c r="T128" s="67"/>
      <c r="U128" s="42" t="s">
        <v>338</v>
      </c>
      <c r="V128" s="42" t="s">
        <v>338</v>
      </c>
      <c r="W128" s="42" t="s">
        <v>338</v>
      </c>
      <c r="X128" s="45" t="s">
        <v>338</v>
      </c>
    </row>
    <row r="129" spans="2:24" s="29" customFormat="1" ht="33" customHeight="1">
      <c r="B129" s="50"/>
      <c r="C129" s="49"/>
      <c r="D129" s="39"/>
      <c r="E129" s="39"/>
      <c r="F129" s="49"/>
      <c r="G129" s="39"/>
      <c r="H129" s="39"/>
      <c r="I129" s="50"/>
      <c r="J129" s="28"/>
      <c r="K129" s="43"/>
      <c r="L129" s="47" t="s">
        <v>338</v>
      </c>
      <c r="M129" s="43"/>
      <c r="N129" s="44"/>
      <c r="O129" s="67"/>
      <c r="P129" s="70"/>
      <c r="Q129" s="71"/>
      <c r="R129" s="71"/>
      <c r="S129" s="72"/>
      <c r="T129" s="67"/>
      <c r="U129" s="42" t="s">
        <v>338</v>
      </c>
      <c r="V129" s="42" t="s">
        <v>338</v>
      </c>
      <c r="W129" s="42" t="s">
        <v>338</v>
      </c>
      <c r="X129" s="45" t="s">
        <v>338</v>
      </c>
    </row>
    <row r="130" spans="2:24" s="29" customFormat="1" ht="33" customHeight="1">
      <c r="B130" s="50"/>
      <c r="C130" s="49"/>
      <c r="D130" s="39"/>
      <c r="E130" s="39"/>
      <c r="F130" s="49"/>
      <c r="G130" s="39"/>
      <c r="H130" s="39"/>
      <c r="I130" s="50"/>
      <c r="J130" s="28"/>
      <c r="K130" s="43"/>
      <c r="L130" s="47" t="s">
        <v>338</v>
      </c>
      <c r="M130" s="43"/>
      <c r="N130" s="44"/>
      <c r="O130" s="67"/>
      <c r="P130" s="70"/>
      <c r="Q130" s="71"/>
      <c r="R130" s="71"/>
      <c r="S130" s="72"/>
      <c r="T130" s="67"/>
      <c r="U130" s="42" t="s">
        <v>338</v>
      </c>
      <c r="V130" s="42" t="s">
        <v>338</v>
      </c>
      <c r="W130" s="42" t="s">
        <v>338</v>
      </c>
      <c r="X130" s="45" t="s">
        <v>338</v>
      </c>
    </row>
    <row r="131" spans="2:24" s="29" customFormat="1" ht="33" customHeight="1">
      <c r="B131" s="50"/>
      <c r="C131" s="49"/>
      <c r="D131" s="39"/>
      <c r="E131" s="39"/>
      <c r="F131" s="49"/>
      <c r="G131" s="39"/>
      <c r="H131" s="39"/>
      <c r="I131" s="50"/>
      <c r="J131" s="28"/>
      <c r="K131" s="43"/>
      <c r="L131" s="47" t="s">
        <v>338</v>
      </c>
      <c r="M131" s="43"/>
      <c r="N131" s="44"/>
      <c r="O131" s="67"/>
      <c r="P131" s="70"/>
      <c r="Q131" s="71"/>
      <c r="R131" s="71"/>
      <c r="S131" s="72"/>
      <c r="T131" s="67"/>
      <c r="U131" s="42" t="s">
        <v>338</v>
      </c>
      <c r="V131" s="42" t="s">
        <v>338</v>
      </c>
      <c r="W131" s="42" t="s">
        <v>338</v>
      </c>
      <c r="X131" s="45" t="s">
        <v>338</v>
      </c>
    </row>
    <row r="132" spans="2:24" s="29" customFormat="1" ht="33" customHeight="1">
      <c r="B132" s="50"/>
      <c r="C132" s="49"/>
      <c r="D132" s="39"/>
      <c r="E132" s="39"/>
      <c r="F132" s="49"/>
      <c r="G132" s="39"/>
      <c r="H132" s="39"/>
      <c r="I132" s="50"/>
      <c r="J132" s="28"/>
      <c r="K132" s="43"/>
      <c r="L132" s="47" t="s">
        <v>338</v>
      </c>
      <c r="M132" s="43"/>
      <c r="N132" s="44"/>
      <c r="O132" s="67"/>
      <c r="P132" s="70"/>
      <c r="Q132" s="71"/>
      <c r="R132" s="71"/>
      <c r="S132" s="72"/>
      <c r="T132" s="67"/>
      <c r="U132" s="42" t="s">
        <v>338</v>
      </c>
      <c r="V132" s="42" t="s">
        <v>338</v>
      </c>
      <c r="W132" s="42" t="s">
        <v>338</v>
      </c>
      <c r="X132" s="45" t="s">
        <v>338</v>
      </c>
    </row>
    <row r="133" spans="2:24" s="29" customFormat="1" ht="33" customHeight="1">
      <c r="B133" s="50"/>
      <c r="C133" s="49"/>
      <c r="D133" s="39"/>
      <c r="E133" s="39"/>
      <c r="F133" s="49"/>
      <c r="G133" s="39"/>
      <c r="H133" s="39"/>
      <c r="I133" s="50"/>
      <c r="J133" s="28"/>
      <c r="K133" s="43"/>
      <c r="L133" s="47" t="s">
        <v>338</v>
      </c>
      <c r="M133" s="43"/>
      <c r="N133" s="44"/>
      <c r="O133" s="67"/>
      <c r="P133" s="70"/>
      <c r="Q133" s="71"/>
      <c r="R133" s="71"/>
      <c r="S133" s="72"/>
      <c r="T133" s="67"/>
      <c r="U133" s="42" t="s">
        <v>338</v>
      </c>
      <c r="V133" s="42" t="s">
        <v>338</v>
      </c>
      <c r="W133" s="42" t="s">
        <v>338</v>
      </c>
      <c r="X133" s="45" t="s">
        <v>338</v>
      </c>
    </row>
    <row r="134" spans="2:24" s="29" customFormat="1" ht="33" customHeight="1">
      <c r="B134" s="50"/>
      <c r="C134" s="49"/>
      <c r="D134" s="39"/>
      <c r="E134" s="39"/>
      <c r="F134" s="49"/>
      <c r="G134" s="39"/>
      <c r="H134" s="39"/>
      <c r="I134" s="50"/>
      <c r="J134" s="28"/>
      <c r="K134" s="43"/>
      <c r="L134" s="47" t="s">
        <v>338</v>
      </c>
      <c r="M134" s="43"/>
      <c r="N134" s="44"/>
      <c r="O134" s="67"/>
      <c r="P134" s="70"/>
      <c r="Q134" s="71"/>
      <c r="R134" s="71"/>
      <c r="S134" s="72"/>
      <c r="T134" s="67"/>
      <c r="U134" s="42" t="s">
        <v>338</v>
      </c>
      <c r="V134" s="42" t="s">
        <v>338</v>
      </c>
      <c r="W134" s="42" t="s">
        <v>338</v>
      </c>
      <c r="X134" s="45" t="s">
        <v>338</v>
      </c>
    </row>
    <row r="135" spans="2:24" s="29" customFormat="1" ht="33" customHeight="1">
      <c r="B135" s="50"/>
      <c r="C135" s="49"/>
      <c r="D135" s="39"/>
      <c r="E135" s="39"/>
      <c r="F135" s="49"/>
      <c r="G135" s="39"/>
      <c r="H135" s="39"/>
      <c r="I135" s="50"/>
      <c r="J135" s="28"/>
      <c r="K135" s="43"/>
      <c r="L135" s="47" t="s">
        <v>338</v>
      </c>
      <c r="M135" s="43"/>
      <c r="N135" s="44"/>
      <c r="O135" s="67"/>
      <c r="P135" s="70"/>
      <c r="Q135" s="71"/>
      <c r="R135" s="71"/>
      <c r="S135" s="72"/>
      <c r="T135" s="67"/>
      <c r="U135" s="42" t="s">
        <v>338</v>
      </c>
      <c r="V135" s="42" t="s">
        <v>338</v>
      </c>
      <c r="W135" s="42" t="s">
        <v>338</v>
      </c>
      <c r="X135" s="45" t="s">
        <v>338</v>
      </c>
    </row>
    <row r="136" spans="2:24" s="29" customFormat="1" ht="33" customHeight="1">
      <c r="B136" s="50"/>
      <c r="C136" s="49"/>
      <c r="D136" s="39"/>
      <c r="E136" s="39"/>
      <c r="F136" s="49"/>
      <c r="G136" s="39"/>
      <c r="H136" s="39"/>
      <c r="I136" s="50"/>
      <c r="J136" s="28"/>
      <c r="K136" s="43"/>
      <c r="L136" s="47" t="s">
        <v>338</v>
      </c>
      <c r="M136" s="43"/>
      <c r="N136" s="44"/>
      <c r="O136" s="67"/>
      <c r="P136" s="70"/>
      <c r="Q136" s="71"/>
      <c r="R136" s="71"/>
      <c r="S136" s="72"/>
      <c r="T136" s="67"/>
      <c r="U136" s="42" t="s">
        <v>338</v>
      </c>
      <c r="V136" s="42" t="s">
        <v>338</v>
      </c>
      <c r="W136" s="42" t="s">
        <v>338</v>
      </c>
      <c r="X136" s="45" t="s">
        <v>338</v>
      </c>
    </row>
    <row r="137" spans="2:24" s="29" customFormat="1" ht="33" customHeight="1">
      <c r="B137" s="50"/>
      <c r="C137" s="49"/>
      <c r="D137" s="39"/>
      <c r="E137" s="39"/>
      <c r="F137" s="49"/>
      <c r="G137" s="39"/>
      <c r="H137" s="39"/>
      <c r="I137" s="50"/>
      <c r="J137" s="28"/>
      <c r="K137" s="43"/>
      <c r="L137" s="47" t="s">
        <v>338</v>
      </c>
      <c r="M137" s="43"/>
      <c r="N137" s="44"/>
      <c r="O137" s="67"/>
      <c r="P137" s="70"/>
      <c r="Q137" s="71"/>
      <c r="R137" s="71"/>
      <c r="S137" s="72"/>
      <c r="T137" s="67"/>
      <c r="U137" s="42" t="s">
        <v>338</v>
      </c>
      <c r="V137" s="42" t="s">
        <v>338</v>
      </c>
      <c r="W137" s="42" t="s">
        <v>338</v>
      </c>
      <c r="X137" s="45" t="s">
        <v>338</v>
      </c>
    </row>
    <row r="138" spans="2:24" s="29" customFormat="1" ht="33" customHeight="1">
      <c r="B138" s="50"/>
      <c r="C138" s="49"/>
      <c r="D138" s="39"/>
      <c r="E138" s="39"/>
      <c r="F138" s="49"/>
      <c r="G138" s="39"/>
      <c r="H138" s="39"/>
      <c r="I138" s="50"/>
      <c r="J138" s="28"/>
      <c r="K138" s="43"/>
      <c r="L138" s="47" t="s">
        <v>338</v>
      </c>
      <c r="M138" s="43"/>
      <c r="N138" s="44"/>
      <c r="O138" s="67"/>
      <c r="P138" s="70"/>
      <c r="Q138" s="71"/>
      <c r="R138" s="71"/>
      <c r="S138" s="72"/>
      <c r="T138" s="67"/>
      <c r="U138" s="42" t="s">
        <v>338</v>
      </c>
      <c r="V138" s="42" t="s">
        <v>338</v>
      </c>
      <c r="W138" s="42" t="s">
        <v>338</v>
      </c>
      <c r="X138" s="45" t="s">
        <v>338</v>
      </c>
    </row>
    <row r="139" spans="2:24" s="29" customFormat="1" ht="33" customHeight="1">
      <c r="B139" s="50"/>
      <c r="C139" s="49"/>
      <c r="D139" s="39"/>
      <c r="E139" s="39"/>
      <c r="F139" s="49"/>
      <c r="G139" s="39"/>
      <c r="H139" s="39"/>
      <c r="I139" s="50"/>
      <c r="J139" s="28"/>
      <c r="K139" s="43"/>
      <c r="L139" s="47" t="s">
        <v>338</v>
      </c>
      <c r="M139" s="43"/>
      <c r="N139" s="44"/>
      <c r="O139" s="67"/>
      <c r="P139" s="70"/>
      <c r="Q139" s="71"/>
      <c r="R139" s="71"/>
      <c r="S139" s="72"/>
      <c r="T139" s="67"/>
      <c r="U139" s="42" t="s">
        <v>338</v>
      </c>
      <c r="V139" s="42" t="s">
        <v>338</v>
      </c>
      <c r="W139" s="42" t="s">
        <v>338</v>
      </c>
      <c r="X139" s="45" t="s">
        <v>338</v>
      </c>
    </row>
    <row r="140" spans="2:24" s="29" customFormat="1" ht="33" customHeight="1">
      <c r="B140" s="50"/>
      <c r="C140" s="49"/>
      <c r="D140" s="39"/>
      <c r="E140" s="39"/>
      <c r="F140" s="49"/>
      <c r="G140" s="39"/>
      <c r="H140" s="39"/>
      <c r="I140" s="50"/>
      <c r="J140" s="28"/>
      <c r="K140" s="43"/>
      <c r="L140" s="47" t="s">
        <v>338</v>
      </c>
      <c r="M140" s="43"/>
      <c r="N140" s="44"/>
      <c r="O140" s="67"/>
      <c r="P140" s="70"/>
      <c r="Q140" s="71"/>
      <c r="R140" s="71"/>
      <c r="S140" s="72"/>
      <c r="T140" s="67"/>
      <c r="U140" s="42" t="s">
        <v>338</v>
      </c>
      <c r="V140" s="42" t="s">
        <v>338</v>
      </c>
      <c r="W140" s="42" t="s">
        <v>338</v>
      </c>
      <c r="X140" s="45" t="s">
        <v>338</v>
      </c>
    </row>
    <row r="141" spans="2:24" s="29" customFormat="1" ht="33" customHeight="1">
      <c r="B141" s="50"/>
      <c r="C141" s="49"/>
      <c r="D141" s="39"/>
      <c r="E141" s="39"/>
      <c r="F141" s="49"/>
      <c r="G141" s="39"/>
      <c r="H141" s="39"/>
      <c r="I141" s="50"/>
      <c r="J141" s="28"/>
      <c r="K141" s="43"/>
      <c r="L141" s="47" t="s">
        <v>338</v>
      </c>
      <c r="M141" s="43"/>
      <c r="N141" s="44"/>
      <c r="O141" s="67"/>
      <c r="P141" s="70"/>
      <c r="Q141" s="71"/>
      <c r="R141" s="71"/>
      <c r="S141" s="72"/>
      <c r="T141" s="67"/>
      <c r="U141" s="42" t="s">
        <v>338</v>
      </c>
      <c r="V141" s="42" t="s">
        <v>338</v>
      </c>
      <c r="W141" s="42" t="s">
        <v>338</v>
      </c>
      <c r="X141" s="45" t="s">
        <v>338</v>
      </c>
    </row>
    <row r="142" spans="2:24" s="29" customFormat="1" ht="33" customHeight="1">
      <c r="B142" s="50"/>
      <c r="C142" s="49"/>
      <c r="D142" s="39"/>
      <c r="E142" s="39"/>
      <c r="F142" s="49"/>
      <c r="G142" s="39"/>
      <c r="H142" s="39"/>
      <c r="I142" s="50"/>
      <c r="J142" s="28"/>
      <c r="K142" s="43"/>
      <c r="L142" s="47" t="s">
        <v>338</v>
      </c>
      <c r="M142" s="43"/>
      <c r="N142" s="44"/>
      <c r="O142" s="67"/>
      <c r="P142" s="70"/>
      <c r="Q142" s="71"/>
      <c r="R142" s="71"/>
      <c r="S142" s="72"/>
      <c r="T142" s="67"/>
      <c r="U142" s="42" t="s">
        <v>338</v>
      </c>
      <c r="V142" s="42" t="s">
        <v>338</v>
      </c>
      <c r="W142" s="42" t="s">
        <v>338</v>
      </c>
      <c r="X142" s="45" t="s">
        <v>338</v>
      </c>
    </row>
    <row r="143" spans="2:24" s="29" customFormat="1" ht="33" customHeight="1">
      <c r="B143" s="50"/>
      <c r="C143" s="49"/>
      <c r="D143" s="39"/>
      <c r="E143" s="39"/>
      <c r="F143" s="49"/>
      <c r="G143" s="39"/>
      <c r="H143" s="39"/>
      <c r="I143" s="50"/>
      <c r="J143" s="28"/>
      <c r="K143" s="43"/>
      <c r="L143" s="47" t="s">
        <v>338</v>
      </c>
      <c r="M143" s="43"/>
      <c r="N143" s="44"/>
      <c r="O143" s="67"/>
      <c r="P143" s="70"/>
      <c r="Q143" s="71"/>
      <c r="R143" s="71"/>
      <c r="S143" s="72"/>
      <c r="T143" s="67"/>
      <c r="U143" s="42" t="s">
        <v>338</v>
      </c>
      <c r="V143" s="42" t="s">
        <v>338</v>
      </c>
      <c r="W143" s="42" t="s">
        <v>338</v>
      </c>
      <c r="X143" s="45" t="s">
        <v>338</v>
      </c>
    </row>
    <row r="144" spans="2:24" s="29" customFormat="1" ht="33" customHeight="1">
      <c r="B144" s="50"/>
      <c r="C144" s="49"/>
      <c r="D144" s="39"/>
      <c r="E144" s="39"/>
      <c r="F144" s="49"/>
      <c r="G144" s="39"/>
      <c r="H144" s="39"/>
      <c r="I144" s="50"/>
      <c r="J144" s="28"/>
      <c r="K144" s="43"/>
      <c r="L144" s="47" t="s">
        <v>338</v>
      </c>
      <c r="M144" s="43"/>
      <c r="N144" s="44"/>
      <c r="O144" s="67"/>
      <c r="P144" s="70"/>
      <c r="Q144" s="71"/>
      <c r="R144" s="71"/>
      <c r="S144" s="72"/>
      <c r="T144" s="67"/>
      <c r="U144" s="42" t="s">
        <v>338</v>
      </c>
      <c r="V144" s="42" t="s">
        <v>338</v>
      </c>
      <c r="W144" s="42" t="s">
        <v>338</v>
      </c>
      <c r="X144" s="45" t="s">
        <v>338</v>
      </c>
    </row>
    <row r="145" spans="2:24" s="29" customFormat="1" ht="33" customHeight="1">
      <c r="B145" s="50"/>
      <c r="C145" s="49"/>
      <c r="D145" s="39"/>
      <c r="E145" s="39"/>
      <c r="F145" s="49"/>
      <c r="G145" s="39"/>
      <c r="H145" s="39"/>
      <c r="I145" s="50"/>
      <c r="J145" s="28"/>
      <c r="K145" s="43"/>
      <c r="L145" s="47" t="s">
        <v>338</v>
      </c>
      <c r="M145" s="43"/>
      <c r="N145" s="44"/>
      <c r="O145" s="67"/>
      <c r="P145" s="70"/>
      <c r="Q145" s="71"/>
      <c r="R145" s="71"/>
      <c r="S145" s="72"/>
      <c r="T145" s="67"/>
      <c r="U145" s="42" t="s">
        <v>338</v>
      </c>
      <c r="V145" s="42" t="s">
        <v>338</v>
      </c>
      <c r="W145" s="42" t="s">
        <v>338</v>
      </c>
      <c r="X145" s="45" t="s">
        <v>338</v>
      </c>
    </row>
    <row r="146" spans="2:24" s="29" customFormat="1" ht="33" customHeight="1">
      <c r="B146" s="50"/>
      <c r="C146" s="49"/>
      <c r="D146" s="39"/>
      <c r="E146" s="39"/>
      <c r="F146" s="49"/>
      <c r="G146" s="39"/>
      <c r="H146" s="39"/>
      <c r="I146" s="50"/>
      <c r="J146" s="28"/>
      <c r="K146" s="43"/>
      <c r="L146" s="47" t="s">
        <v>338</v>
      </c>
      <c r="M146" s="43"/>
      <c r="N146" s="44"/>
      <c r="O146" s="67"/>
      <c r="P146" s="70"/>
      <c r="Q146" s="71"/>
      <c r="R146" s="71"/>
      <c r="S146" s="72"/>
      <c r="T146" s="67"/>
      <c r="U146" s="42" t="s">
        <v>338</v>
      </c>
      <c r="V146" s="42" t="s">
        <v>338</v>
      </c>
      <c r="W146" s="42" t="s">
        <v>338</v>
      </c>
      <c r="X146" s="45" t="s">
        <v>338</v>
      </c>
    </row>
    <row r="147" spans="2:24" s="29" customFormat="1" ht="33" customHeight="1">
      <c r="B147" s="50"/>
      <c r="C147" s="49"/>
      <c r="D147" s="39"/>
      <c r="E147" s="39"/>
      <c r="F147" s="49"/>
      <c r="G147" s="39"/>
      <c r="H147" s="39"/>
      <c r="I147" s="50"/>
      <c r="J147" s="28"/>
      <c r="K147" s="43"/>
      <c r="L147" s="47" t="s">
        <v>338</v>
      </c>
      <c r="M147" s="43"/>
      <c r="N147" s="44"/>
      <c r="O147" s="67"/>
      <c r="P147" s="70"/>
      <c r="Q147" s="71"/>
      <c r="R147" s="71"/>
      <c r="S147" s="72"/>
      <c r="T147" s="67"/>
      <c r="U147" s="42" t="s">
        <v>338</v>
      </c>
      <c r="V147" s="42" t="s">
        <v>338</v>
      </c>
      <c r="W147" s="42" t="s">
        <v>338</v>
      </c>
      <c r="X147" s="45" t="s">
        <v>338</v>
      </c>
    </row>
    <row r="148" spans="2:24" s="29" customFormat="1" ht="33" customHeight="1">
      <c r="B148" s="50"/>
      <c r="C148" s="49"/>
      <c r="D148" s="39"/>
      <c r="E148" s="39"/>
      <c r="F148" s="49"/>
      <c r="G148" s="39"/>
      <c r="H148" s="39"/>
      <c r="I148" s="50"/>
      <c r="J148" s="28"/>
      <c r="K148" s="43"/>
      <c r="L148" s="47" t="s">
        <v>338</v>
      </c>
      <c r="M148" s="43"/>
      <c r="N148" s="44"/>
      <c r="O148" s="67"/>
      <c r="P148" s="70"/>
      <c r="Q148" s="71"/>
      <c r="R148" s="71"/>
      <c r="S148" s="72"/>
      <c r="T148" s="67"/>
      <c r="U148" s="42" t="s">
        <v>338</v>
      </c>
      <c r="V148" s="42" t="s">
        <v>338</v>
      </c>
      <c r="W148" s="42" t="s">
        <v>338</v>
      </c>
      <c r="X148" s="45" t="s">
        <v>338</v>
      </c>
    </row>
    <row r="149" spans="2:24" s="29" customFormat="1" ht="33" customHeight="1">
      <c r="B149" s="50"/>
      <c r="C149" s="49"/>
      <c r="D149" s="39"/>
      <c r="E149" s="39"/>
      <c r="F149" s="49"/>
      <c r="G149" s="39"/>
      <c r="H149" s="39"/>
      <c r="I149" s="50"/>
      <c r="J149" s="28"/>
      <c r="K149" s="43"/>
      <c r="L149" s="47" t="s">
        <v>338</v>
      </c>
      <c r="M149" s="43"/>
      <c r="N149" s="44"/>
      <c r="O149" s="67"/>
      <c r="P149" s="70"/>
      <c r="Q149" s="71"/>
      <c r="R149" s="71"/>
      <c r="S149" s="72"/>
      <c r="T149" s="67"/>
      <c r="U149" s="42" t="s">
        <v>338</v>
      </c>
      <c r="V149" s="42" t="s">
        <v>338</v>
      </c>
      <c r="W149" s="42" t="s">
        <v>338</v>
      </c>
      <c r="X149" s="45" t="s">
        <v>338</v>
      </c>
    </row>
    <row r="150" spans="2:24" s="29" customFormat="1" ht="33" customHeight="1">
      <c r="B150" s="50"/>
      <c r="C150" s="49"/>
      <c r="D150" s="39"/>
      <c r="E150" s="39"/>
      <c r="F150" s="49"/>
      <c r="G150" s="39"/>
      <c r="H150" s="39"/>
      <c r="I150" s="50"/>
      <c r="J150" s="28"/>
      <c r="K150" s="43"/>
      <c r="L150" s="47" t="s">
        <v>338</v>
      </c>
      <c r="M150" s="43"/>
      <c r="N150" s="44"/>
      <c r="O150" s="67"/>
      <c r="P150" s="70"/>
      <c r="Q150" s="71"/>
      <c r="R150" s="71"/>
      <c r="S150" s="72"/>
      <c r="T150" s="67"/>
      <c r="U150" s="42" t="s">
        <v>338</v>
      </c>
      <c r="V150" s="42" t="s">
        <v>338</v>
      </c>
      <c r="W150" s="42" t="s">
        <v>338</v>
      </c>
      <c r="X150" s="45" t="s">
        <v>338</v>
      </c>
    </row>
    <row r="151" spans="2:24" s="29" customFormat="1" ht="33" customHeight="1">
      <c r="B151" s="50"/>
      <c r="C151" s="49"/>
      <c r="D151" s="39"/>
      <c r="E151" s="39"/>
      <c r="F151" s="49"/>
      <c r="G151" s="39"/>
      <c r="H151" s="39"/>
      <c r="I151" s="50"/>
      <c r="J151" s="28"/>
      <c r="K151" s="43"/>
      <c r="L151" s="47" t="s">
        <v>338</v>
      </c>
      <c r="M151" s="43"/>
      <c r="N151" s="44"/>
      <c r="O151" s="67"/>
      <c r="P151" s="70"/>
      <c r="Q151" s="71"/>
      <c r="R151" s="71"/>
      <c r="S151" s="72"/>
      <c r="T151" s="67"/>
      <c r="U151" s="42" t="s">
        <v>338</v>
      </c>
      <c r="V151" s="42" t="s">
        <v>338</v>
      </c>
      <c r="W151" s="42" t="s">
        <v>338</v>
      </c>
      <c r="X151" s="45" t="s">
        <v>338</v>
      </c>
    </row>
    <row r="152" spans="2:24" s="29" customFormat="1" ht="33" customHeight="1">
      <c r="B152" s="50"/>
      <c r="C152" s="49"/>
      <c r="D152" s="39"/>
      <c r="E152" s="39"/>
      <c r="F152" s="49"/>
      <c r="G152" s="39"/>
      <c r="H152" s="39"/>
      <c r="I152" s="50"/>
      <c r="J152" s="28"/>
      <c r="K152" s="43"/>
      <c r="L152" s="47" t="s">
        <v>338</v>
      </c>
      <c r="M152" s="43"/>
      <c r="N152" s="44"/>
      <c r="O152" s="67"/>
      <c r="P152" s="70"/>
      <c r="Q152" s="71"/>
      <c r="R152" s="71"/>
      <c r="S152" s="72"/>
      <c r="T152" s="67"/>
      <c r="U152" s="42" t="s">
        <v>338</v>
      </c>
      <c r="V152" s="42" t="s">
        <v>338</v>
      </c>
      <c r="W152" s="42" t="s">
        <v>338</v>
      </c>
      <c r="X152" s="45" t="s">
        <v>338</v>
      </c>
    </row>
    <row r="153" spans="2:24" s="29" customFormat="1" ht="33" customHeight="1">
      <c r="B153" s="50"/>
      <c r="C153" s="49"/>
      <c r="D153" s="39"/>
      <c r="E153" s="39"/>
      <c r="F153" s="49"/>
      <c r="G153" s="39"/>
      <c r="H153" s="39"/>
      <c r="I153" s="50"/>
      <c r="J153" s="28"/>
      <c r="K153" s="43"/>
      <c r="L153" s="47" t="s">
        <v>338</v>
      </c>
      <c r="M153" s="43"/>
      <c r="N153" s="44"/>
      <c r="O153" s="67"/>
      <c r="P153" s="70"/>
      <c r="Q153" s="71"/>
      <c r="R153" s="71"/>
      <c r="S153" s="72"/>
      <c r="T153" s="67"/>
      <c r="U153" s="42" t="s">
        <v>338</v>
      </c>
      <c r="V153" s="42" t="s">
        <v>338</v>
      </c>
      <c r="W153" s="42" t="s">
        <v>338</v>
      </c>
      <c r="X153" s="45" t="s">
        <v>338</v>
      </c>
    </row>
    <row r="154" spans="2:24" s="29" customFormat="1" ht="33" customHeight="1">
      <c r="B154" s="50"/>
      <c r="C154" s="49"/>
      <c r="D154" s="39"/>
      <c r="E154" s="39"/>
      <c r="F154" s="49"/>
      <c r="G154" s="39"/>
      <c r="H154" s="39"/>
      <c r="I154" s="50"/>
      <c r="J154" s="28"/>
      <c r="K154" s="43"/>
      <c r="L154" s="47" t="s">
        <v>338</v>
      </c>
      <c r="M154" s="43"/>
      <c r="N154" s="44"/>
      <c r="O154" s="67"/>
      <c r="P154" s="70"/>
      <c r="Q154" s="71"/>
      <c r="R154" s="71"/>
      <c r="S154" s="72"/>
      <c r="T154" s="67"/>
      <c r="U154" s="42" t="s">
        <v>338</v>
      </c>
      <c r="V154" s="42" t="s">
        <v>338</v>
      </c>
      <c r="W154" s="42" t="s">
        <v>338</v>
      </c>
      <c r="X154" s="45" t="s">
        <v>338</v>
      </c>
    </row>
    <row r="155" spans="2:24" s="29" customFormat="1" ht="33" customHeight="1">
      <c r="B155" s="50"/>
      <c r="C155" s="49"/>
      <c r="D155" s="39"/>
      <c r="E155" s="39"/>
      <c r="F155" s="49"/>
      <c r="G155" s="39"/>
      <c r="H155" s="39"/>
      <c r="I155" s="50"/>
      <c r="J155" s="28"/>
      <c r="K155" s="43"/>
      <c r="L155" s="47" t="s">
        <v>338</v>
      </c>
      <c r="M155" s="43"/>
      <c r="N155" s="44"/>
      <c r="O155" s="67"/>
      <c r="P155" s="70"/>
      <c r="Q155" s="71"/>
      <c r="R155" s="71"/>
      <c r="S155" s="72"/>
      <c r="T155" s="67"/>
      <c r="U155" s="42" t="s">
        <v>338</v>
      </c>
      <c r="V155" s="42" t="s">
        <v>338</v>
      </c>
      <c r="W155" s="42" t="s">
        <v>338</v>
      </c>
      <c r="X155" s="45" t="s">
        <v>338</v>
      </c>
    </row>
    <row r="156" spans="2:24" s="29" customFormat="1" ht="33" customHeight="1">
      <c r="B156" s="50"/>
      <c r="C156" s="49"/>
      <c r="D156" s="39"/>
      <c r="E156" s="39"/>
      <c r="F156" s="49"/>
      <c r="G156" s="39"/>
      <c r="H156" s="39"/>
      <c r="I156" s="50"/>
      <c r="J156" s="28"/>
      <c r="K156" s="43"/>
      <c r="L156" s="47" t="s">
        <v>338</v>
      </c>
      <c r="M156" s="43"/>
      <c r="N156" s="44"/>
      <c r="O156" s="67"/>
      <c r="P156" s="70"/>
      <c r="Q156" s="71"/>
      <c r="R156" s="71"/>
      <c r="S156" s="72"/>
      <c r="T156" s="67"/>
      <c r="U156" s="42" t="s">
        <v>338</v>
      </c>
      <c r="V156" s="42" t="s">
        <v>338</v>
      </c>
      <c r="W156" s="42" t="s">
        <v>338</v>
      </c>
      <c r="X156" s="45" t="s">
        <v>338</v>
      </c>
    </row>
    <row r="157" spans="2:24" s="29" customFormat="1" ht="33" customHeight="1">
      <c r="B157" s="50"/>
      <c r="C157" s="49"/>
      <c r="D157" s="39"/>
      <c r="E157" s="39"/>
      <c r="F157" s="49"/>
      <c r="G157" s="39"/>
      <c r="H157" s="39"/>
      <c r="I157" s="50"/>
      <c r="J157" s="28"/>
      <c r="K157" s="43"/>
      <c r="L157" s="47" t="s">
        <v>338</v>
      </c>
      <c r="M157" s="43"/>
      <c r="N157" s="44"/>
      <c r="O157" s="67"/>
      <c r="P157" s="70"/>
      <c r="Q157" s="71"/>
      <c r="R157" s="71"/>
      <c r="S157" s="72"/>
      <c r="T157" s="67"/>
      <c r="U157" s="42" t="s">
        <v>338</v>
      </c>
      <c r="V157" s="42" t="s">
        <v>338</v>
      </c>
      <c r="W157" s="42" t="s">
        <v>338</v>
      </c>
      <c r="X157" s="45" t="s">
        <v>338</v>
      </c>
    </row>
    <row r="158" spans="2:24" s="29" customFormat="1" ht="33" customHeight="1">
      <c r="B158" s="50"/>
      <c r="C158" s="49"/>
      <c r="D158" s="39"/>
      <c r="E158" s="39"/>
      <c r="F158" s="49"/>
      <c r="G158" s="39"/>
      <c r="H158" s="39"/>
      <c r="I158" s="50"/>
      <c r="J158" s="28"/>
      <c r="K158" s="43"/>
      <c r="L158" s="47" t="s">
        <v>338</v>
      </c>
      <c r="M158" s="43"/>
      <c r="N158" s="44"/>
      <c r="O158" s="67"/>
      <c r="P158" s="70"/>
      <c r="Q158" s="71"/>
      <c r="R158" s="71"/>
      <c r="S158" s="72"/>
      <c r="T158" s="67"/>
      <c r="U158" s="42" t="s">
        <v>338</v>
      </c>
      <c r="V158" s="42" t="s">
        <v>338</v>
      </c>
      <c r="W158" s="42" t="s">
        <v>338</v>
      </c>
      <c r="X158" s="45" t="s">
        <v>338</v>
      </c>
    </row>
    <row r="159" spans="2:24" s="29" customFormat="1" ht="33" customHeight="1">
      <c r="B159" s="50"/>
      <c r="C159" s="49"/>
      <c r="D159" s="39"/>
      <c r="E159" s="39"/>
      <c r="F159" s="49"/>
      <c r="G159" s="39"/>
      <c r="H159" s="39"/>
      <c r="I159" s="50"/>
      <c r="J159" s="28"/>
      <c r="K159" s="43"/>
      <c r="L159" s="47" t="s">
        <v>338</v>
      </c>
      <c r="M159" s="43"/>
      <c r="N159" s="44"/>
      <c r="O159" s="67"/>
      <c r="P159" s="70"/>
      <c r="Q159" s="71"/>
      <c r="R159" s="71"/>
      <c r="S159" s="72"/>
      <c r="T159" s="67"/>
      <c r="U159" s="42" t="s">
        <v>338</v>
      </c>
      <c r="V159" s="42" t="s">
        <v>338</v>
      </c>
      <c r="W159" s="42" t="s">
        <v>338</v>
      </c>
      <c r="X159" s="45" t="s">
        <v>338</v>
      </c>
    </row>
    <row r="160" spans="2:24" s="29" customFormat="1" ht="33" customHeight="1">
      <c r="B160" s="50"/>
      <c r="C160" s="49"/>
      <c r="D160" s="39"/>
      <c r="E160" s="39"/>
      <c r="F160" s="49"/>
      <c r="G160" s="39"/>
      <c r="H160" s="39"/>
      <c r="I160" s="50"/>
      <c r="J160" s="28"/>
      <c r="K160" s="43"/>
      <c r="L160" s="47" t="s">
        <v>338</v>
      </c>
      <c r="M160" s="43"/>
      <c r="N160" s="44"/>
      <c r="O160" s="67"/>
      <c r="P160" s="70"/>
      <c r="Q160" s="71"/>
      <c r="R160" s="71"/>
      <c r="S160" s="72"/>
      <c r="T160" s="67"/>
      <c r="U160" s="42" t="s">
        <v>338</v>
      </c>
      <c r="V160" s="42" t="s">
        <v>338</v>
      </c>
      <c r="W160" s="42" t="s">
        <v>338</v>
      </c>
      <c r="X160" s="45" t="s">
        <v>338</v>
      </c>
    </row>
    <row r="161" spans="2:24" s="29" customFormat="1" ht="33" customHeight="1">
      <c r="B161" s="50"/>
      <c r="C161" s="49"/>
      <c r="D161" s="39"/>
      <c r="E161" s="39"/>
      <c r="F161" s="49"/>
      <c r="G161" s="39"/>
      <c r="H161" s="39"/>
      <c r="I161" s="50"/>
      <c r="J161" s="28"/>
      <c r="K161" s="43"/>
      <c r="L161" s="47" t="s">
        <v>338</v>
      </c>
      <c r="M161" s="43"/>
      <c r="N161" s="44"/>
      <c r="O161" s="67"/>
      <c r="P161" s="70"/>
      <c r="Q161" s="71"/>
      <c r="R161" s="71"/>
      <c r="S161" s="72"/>
      <c r="T161" s="67"/>
      <c r="U161" s="42" t="s">
        <v>338</v>
      </c>
      <c r="V161" s="42" t="s">
        <v>338</v>
      </c>
      <c r="W161" s="42" t="s">
        <v>338</v>
      </c>
      <c r="X161" s="45" t="s">
        <v>338</v>
      </c>
    </row>
    <row r="162" spans="2:24" s="29" customFormat="1" ht="33" customHeight="1">
      <c r="B162" s="50"/>
      <c r="C162" s="49"/>
      <c r="D162" s="39"/>
      <c r="E162" s="39"/>
      <c r="F162" s="49"/>
      <c r="G162" s="39"/>
      <c r="H162" s="39"/>
      <c r="I162" s="50"/>
      <c r="J162" s="28"/>
      <c r="K162" s="43"/>
      <c r="L162" s="47" t="s">
        <v>338</v>
      </c>
      <c r="M162" s="43"/>
      <c r="N162" s="44"/>
      <c r="O162" s="67"/>
      <c r="P162" s="70"/>
      <c r="Q162" s="71"/>
      <c r="R162" s="71"/>
      <c r="S162" s="72"/>
      <c r="T162" s="67"/>
      <c r="U162" s="42" t="s">
        <v>338</v>
      </c>
      <c r="V162" s="42" t="s">
        <v>338</v>
      </c>
      <c r="W162" s="42" t="s">
        <v>338</v>
      </c>
      <c r="X162" s="45" t="s">
        <v>338</v>
      </c>
    </row>
    <row r="163" spans="2:24" s="29" customFormat="1" ht="33" customHeight="1">
      <c r="B163" s="50"/>
      <c r="C163" s="49"/>
      <c r="D163" s="39"/>
      <c r="E163" s="39"/>
      <c r="F163" s="49"/>
      <c r="G163" s="39"/>
      <c r="H163" s="39"/>
      <c r="I163" s="50"/>
      <c r="J163" s="28"/>
      <c r="K163" s="43"/>
      <c r="L163" s="47" t="s">
        <v>338</v>
      </c>
      <c r="M163" s="43"/>
      <c r="N163" s="44"/>
      <c r="O163" s="67"/>
      <c r="P163" s="70"/>
      <c r="Q163" s="71"/>
      <c r="R163" s="71"/>
      <c r="S163" s="72"/>
      <c r="T163" s="67"/>
      <c r="U163" s="42" t="s">
        <v>338</v>
      </c>
      <c r="V163" s="42" t="s">
        <v>338</v>
      </c>
      <c r="W163" s="42" t="s">
        <v>338</v>
      </c>
      <c r="X163" s="45" t="s">
        <v>338</v>
      </c>
    </row>
    <row r="164" spans="2:24" s="29" customFormat="1" ht="33" customHeight="1">
      <c r="B164" s="50"/>
      <c r="C164" s="49"/>
      <c r="D164" s="39"/>
      <c r="E164" s="39"/>
      <c r="F164" s="49"/>
      <c r="G164" s="39"/>
      <c r="H164" s="39"/>
      <c r="I164" s="50"/>
      <c r="J164" s="28"/>
      <c r="K164" s="43"/>
      <c r="L164" s="47" t="s">
        <v>338</v>
      </c>
      <c r="M164" s="43"/>
      <c r="N164" s="44"/>
      <c r="O164" s="67"/>
      <c r="P164" s="70"/>
      <c r="Q164" s="71"/>
      <c r="R164" s="71"/>
      <c r="S164" s="72"/>
      <c r="T164" s="67"/>
      <c r="U164" s="42" t="s">
        <v>338</v>
      </c>
      <c r="V164" s="42" t="s">
        <v>338</v>
      </c>
      <c r="W164" s="42" t="s">
        <v>338</v>
      </c>
      <c r="X164" s="45" t="s">
        <v>338</v>
      </c>
    </row>
    <row r="165" spans="2:24" s="29" customFormat="1" ht="33" customHeight="1">
      <c r="B165" s="50"/>
      <c r="C165" s="49"/>
      <c r="D165" s="39"/>
      <c r="E165" s="39"/>
      <c r="F165" s="49"/>
      <c r="G165" s="39"/>
      <c r="H165" s="39"/>
      <c r="I165" s="50"/>
      <c r="J165" s="28"/>
      <c r="K165" s="43"/>
      <c r="L165" s="47" t="s">
        <v>338</v>
      </c>
      <c r="M165" s="43"/>
      <c r="N165" s="44"/>
      <c r="O165" s="67"/>
      <c r="P165" s="70"/>
      <c r="Q165" s="71"/>
      <c r="R165" s="71"/>
      <c r="S165" s="72"/>
      <c r="T165" s="67"/>
      <c r="U165" s="42" t="s">
        <v>338</v>
      </c>
      <c r="V165" s="42" t="s">
        <v>338</v>
      </c>
      <c r="W165" s="42" t="s">
        <v>338</v>
      </c>
      <c r="X165" s="45" t="s">
        <v>338</v>
      </c>
    </row>
    <row r="166" spans="2:24" s="29" customFormat="1" ht="33" customHeight="1">
      <c r="B166" s="50"/>
      <c r="C166" s="49"/>
      <c r="D166" s="39"/>
      <c r="E166" s="39"/>
      <c r="F166" s="49"/>
      <c r="G166" s="39"/>
      <c r="H166" s="39"/>
      <c r="I166" s="50"/>
      <c r="J166" s="28"/>
      <c r="K166" s="43"/>
      <c r="L166" s="47" t="s">
        <v>338</v>
      </c>
      <c r="M166" s="43"/>
      <c r="N166" s="44"/>
      <c r="O166" s="67"/>
      <c r="P166" s="70"/>
      <c r="Q166" s="71"/>
      <c r="R166" s="71"/>
      <c r="S166" s="72"/>
      <c r="T166" s="67"/>
      <c r="U166" s="42" t="s">
        <v>338</v>
      </c>
      <c r="V166" s="42" t="s">
        <v>338</v>
      </c>
      <c r="W166" s="42" t="s">
        <v>338</v>
      </c>
      <c r="X166" s="45" t="s">
        <v>338</v>
      </c>
    </row>
    <row r="167" spans="2:24" s="29" customFormat="1" ht="33" customHeight="1">
      <c r="B167" s="50"/>
      <c r="C167" s="49"/>
      <c r="D167" s="39"/>
      <c r="E167" s="39"/>
      <c r="F167" s="49"/>
      <c r="G167" s="39"/>
      <c r="H167" s="39"/>
      <c r="I167" s="50"/>
      <c r="J167" s="28"/>
      <c r="K167" s="43"/>
      <c r="L167" s="47" t="s">
        <v>338</v>
      </c>
      <c r="M167" s="43"/>
      <c r="N167" s="44"/>
      <c r="O167" s="67"/>
      <c r="P167" s="70"/>
      <c r="Q167" s="71"/>
      <c r="R167" s="71"/>
      <c r="S167" s="72"/>
      <c r="T167" s="67"/>
      <c r="U167" s="42" t="s">
        <v>338</v>
      </c>
      <c r="V167" s="42" t="s">
        <v>338</v>
      </c>
      <c r="W167" s="42" t="s">
        <v>338</v>
      </c>
      <c r="X167" s="45" t="s">
        <v>338</v>
      </c>
    </row>
    <row r="168" spans="2:24" s="29" customFormat="1" ht="33" customHeight="1">
      <c r="B168" s="50"/>
      <c r="C168" s="49"/>
      <c r="D168" s="39"/>
      <c r="E168" s="39"/>
      <c r="F168" s="49"/>
      <c r="G168" s="39"/>
      <c r="H168" s="39"/>
      <c r="I168" s="50"/>
      <c r="J168" s="28"/>
      <c r="K168" s="43"/>
      <c r="L168" s="47" t="s">
        <v>338</v>
      </c>
      <c r="M168" s="43"/>
      <c r="N168" s="44"/>
      <c r="O168" s="67"/>
      <c r="P168" s="70"/>
      <c r="Q168" s="71"/>
      <c r="R168" s="71"/>
      <c r="S168" s="72"/>
      <c r="T168" s="67"/>
      <c r="U168" s="42" t="s">
        <v>338</v>
      </c>
      <c r="V168" s="42" t="s">
        <v>338</v>
      </c>
      <c r="W168" s="42" t="s">
        <v>338</v>
      </c>
      <c r="X168" s="45" t="s">
        <v>338</v>
      </c>
    </row>
    <row r="169" spans="2:24" s="29" customFormat="1" ht="33" customHeight="1">
      <c r="B169" s="50"/>
      <c r="C169" s="49"/>
      <c r="D169" s="39"/>
      <c r="E169" s="39"/>
      <c r="F169" s="49"/>
      <c r="G169" s="39"/>
      <c r="H169" s="39"/>
      <c r="I169" s="50"/>
      <c r="J169" s="28"/>
      <c r="K169" s="43"/>
      <c r="L169" s="47" t="s">
        <v>338</v>
      </c>
      <c r="M169" s="43"/>
      <c r="N169" s="44"/>
      <c r="O169" s="67"/>
      <c r="P169" s="70"/>
      <c r="Q169" s="71"/>
      <c r="R169" s="71"/>
      <c r="S169" s="72"/>
      <c r="T169" s="67"/>
      <c r="U169" s="42" t="s">
        <v>338</v>
      </c>
      <c r="V169" s="42" t="s">
        <v>338</v>
      </c>
      <c r="W169" s="42" t="s">
        <v>338</v>
      </c>
      <c r="X169" s="45" t="s">
        <v>338</v>
      </c>
    </row>
    <row r="170" spans="2:24" s="29" customFormat="1" ht="33" customHeight="1">
      <c r="B170" s="50"/>
      <c r="C170" s="49"/>
      <c r="D170" s="39"/>
      <c r="E170" s="39"/>
      <c r="F170" s="49"/>
      <c r="G170" s="39"/>
      <c r="H170" s="39"/>
      <c r="I170" s="50"/>
      <c r="J170" s="28"/>
      <c r="K170" s="43"/>
      <c r="L170" s="47" t="s">
        <v>338</v>
      </c>
      <c r="M170" s="43"/>
      <c r="N170" s="44"/>
      <c r="O170" s="67"/>
      <c r="P170" s="70"/>
      <c r="Q170" s="71"/>
      <c r="R170" s="71"/>
      <c r="S170" s="72"/>
      <c r="T170" s="67"/>
      <c r="U170" s="42" t="s">
        <v>338</v>
      </c>
      <c r="V170" s="42" t="s">
        <v>338</v>
      </c>
      <c r="W170" s="42" t="s">
        <v>338</v>
      </c>
      <c r="X170" s="45" t="s">
        <v>338</v>
      </c>
    </row>
    <row r="171" spans="2:24" s="29" customFormat="1" ht="33" customHeight="1">
      <c r="B171" s="50"/>
      <c r="C171" s="49"/>
      <c r="D171" s="39"/>
      <c r="E171" s="39"/>
      <c r="F171" s="49"/>
      <c r="G171" s="39"/>
      <c r="H171" s="39"/>
      <c r="I171" s="50"/>
      <c r="J171" s="28"/>
      <c r="K171" s="43"/>
      <c r="L171" s="47" t="s">
        <v>338</v>
      </c>
      <c r="M171" s="43"/>
      <c r="N171" s="44"/>
      <c r="O171" s="67"/>
      <c r="P171" s="70"/>
      <c r="Q171" s="71"/>
      <c r="R171" s="71"/>
      <c r="S171" s="72"/>
      <c r="T171" s="67"/>
      <c r="U171" s="42" t="s">
        <v>338</v>
      </c>
      <c r="V171" s="42" t="s">
        <v>338</v>
      </c>
      <c r="W171" s="42" t="s">
        <v>338</v>
      </c>
      <c r="X171" s="45" t="s">
        <v>338</v>
      </c>
    </row>
    <row r="172" spans="2:24" s="29" customFormat="1" ht="33" customHeight="1">
      <c r="B172" s="50"/>
      <c r="C172" s="49"/>
      <c r="D172" s="39"/>
      <c r="E172" s="39"/>
      <c r="F172" s="49"/>
      <c r="G172" s="39"/>
      <c r="H172" s="39"/>
      <c r="I172" s="50"/>
      <c r="J172" s="28"/>
      <c r="K172" s="43"/>
      <c r="L172" s="47" t="s">
        <v>338</v>
      </c>
      <c r="M172" s="43"/>
      <c r="N172" s="44"/>
      <c r="O172" s="67"/>
      <c r="P172" s="70"/>
      <c r="Q172" s="71"/>
      <c r="R172" s="71"/>
      <c r="S172" s="72"/>
      <c r="T172" s="67"/>
      <c r="U172" s="42" t="s">
        <v>338</v>
      </c>
      <c r="V172" s="42" t="s">
        <v>338</v>
      </c>
      <c r="W172" s="42" t="s">
        <v>338</v>
      </c>
      <c r="X172" s="45" t="s">
        <v>338</v>
      </c>
    </row>
    <row r="173" spans="2:24" s="29" customFormat="1" ht="33" customHeight="1">
      <c r="B173" s="50"/>
      <c r="C173" s="49"/>
      <c r="D173" s="39"/>
      <c r="E173" s="39"/>
      <c r="F173" s="49"/>
      <c r="G173" s="39"/>
      <c r="H173" s="39"/>
      <c r="I173" s="50"/>
      <c r="J173" s="28"/>
      <c r="K173" s="43"/>
      <c r="L173" s="47" t="s">
        <v>338</v>
      </c>
      <c r="M173" s="43"/>
      <c r="N173" s="44"/>
      <c r="O173" s="67"/>
      <c r="P173" s="70"/>
      <c r="Q173" s="71"/>
      <c r="R173" s="71"/>
      <c r="S173" s="72"/>
      <c r="T173" s="67"/>
      <c r="U173" s="42" t="s">
        <v>338</v>
      </c>
      <c r="V173" s="42" t="s">
        <v>338</v>
      </c>
      <c r="W173" s="42" t="s">
        <v>338</v>
      </c>
      <c r="X173" s="45" t="s">
        <v>338</v>
      </c>
    </row>
    <row r="174" spans="2:24" s="29" customFormat="1" ht="33" customHeight="1">
      <c r="B174" s="50"/>
      <c r="C174" s="49"/>
      <c r="D174" s="39"/>
      <c r="E174" s="39"/>
      <c r="F174" s="49"/>
      <c r="G174" s="39"/>
      <c r="H174" s="39"/>
      <c r="I174" s="50"/>
      <c r="J174" s="28"/>
      <c r="K174" s="43"/>
      <c r="L174" s="47" t="s">
        <v>338</v>
      </c>
      <c r="M174" s="43"/>
      <c r="N174" s="44"/>
      <c r="O174" s="67"/>
      <c r="P174" s="70"/>
      <c r="Q174" s="71"/>
      <c r="R174" s="71"/>
      <c r="S174" s="72"/>
      <c r="T174" s="67"/>
      <c r="U174" s="42" t="s">
        <v>338</v>
      </c>
      <c r="V174" s="42" t="s">
        <v>338</v>
      </c>
      <c r="W174" s="42" t="s">
        <v>338</v>
      </c>
      <c r="X174" s="45" t="s">
        <v>338</v>
      </c>
    </row>
    <row r="175" spans="2:24" s="29" customFormat="1" ht="33" customHeight="1">
      <c r="B175" s="50"/>
      <c r="C175" s="49"/>
      <c r="D175" s="39"/>
      <c r="E175" s="39"/>
      <c r="F175" s="49"/>
      <c r="G175" s="39"/>
      <c r="H175" s="39"/>
      <c r="I175" s="50"/>
      <c r="J175" s="28"/>
      <c r="K175" s="43"/>
      <c r="L175" s="47" t="s">
        <v>338</v>
      </c>
      <c r="M175" s="43"/>
      <c r="N175" s="44"/>
      <c r="O175" s="67"/>
      <c r="P175" s="70"/>
      <c r="Q175" s="71"/>
      <c r="R175" s="71"/>
      <c r="S175" s="72"/>
      <c r="T175" s="67"/>
      <c r="U175" s="42" t="s">
        <v>338</v>
      </c>
      <c r="V175" s="42" t="s">
        <v>338</v>
      </c>
      <c r="W175" s="42" t="s">
        <v>338</v>
      </c>
      <c r="X175" s="45" t="s">
        <v>338</v>
      </c>
    </row>
    <row r="176" spans="2:24" s="29" customFormat="1" ht="33" customHeight="1">
      <c r="B176" s="50"/>
      <c r="C176" s="49"/>
      <c r="D176" s="39"/>
      <c r="E176" s="39"/>
      <c r="F176" s="49"/>
      <c r="G176" s="39"/>
      <c r="H176" s="39"/>
      <c r="I176" s="50"/>
      <c r="J176" s="28"/>
      <c r="K176" s="43"/>
      <c r="L176" s="47" t="s">
        <v>338</v>
      </c>
      <c r="M176" s="43"/>
      <c r="N176" s="44"/>
      <c r="O176" s="67"/>
      <c r="P176" s="70"/>
      <c r="Q176" s="71"/>
      <c r="R176" s="71"/>
      <c r="S176" s="72"/>
      <c r="T176" s="67"/>
      <c r="U176" s="42" t="s">
        <v>338</v>
      </c>
      <c r="V176" s="42" t="s">
        <v>338</v>
      </c>
      <c r="W176" s="42" t="s">
        <v>338</v>
      </c>
      <c r="X176" s="45" t="s">
        <v>338</v>
      </c>
    </row>
    <row r="177" spans="2:24" s="29" customFormat="1" ht="33" customHeight="1">
      <c r="B177" s="50"/>
      <c r="C177" s="49"/>
      <c r="D177" s="39"/>
      <c r="E177" s="39"/>
      <c r="F177" s="49"/>
      <c r="G177" s="39"/>
      <c r="H177" s="39"/>
      <c r="I177" s="50"/>
      <c r="J177" s="28"/>
      <c r="K177" s="43"/>
      <c r="L177" s="47" t="s">
        <v>338</v>
      </c>
      <c r="M177" s="43"/>
      <c r="N177" s="44"/>
      <c r="O177" s="67"/>
      <c r="P177" s="70"/>
      <c r="Q177" s="71"/>
      <c r="R177" s="71"/>
      <c r="S177" s="72"/>
      <c r="T177" s="67"/>
      <c r="U177" s="42" t="s">
        <v>338</v>
      </c>
      <c r="V177" s="42" t="s">
        <v>338</v>
      </c>
      <c r="W177" s="42" t="s">
        <v>338</v>
      </c>
      <c r="X177" s="45" t="s">
        <v>338</v>
      </c>
    </row>
    <row r="178" spans="2:24" s="29" customFormat="1" ht="33" customHeight="1">
      <c r="B178" s="50"/>
      <c r="C178" s="49"/>
      <c r="D178" s="39"/>
      <c r="E178" s="39"/>
      <c r="F178" s="49"/>
      <c r="G178" s="39"/>
      <c r="H178" s="39"/>
      <c r="I178" s="50"/>
      <c r="J178" s="28"/>
      <c r="K178" s="43"/>
      <c r="L178" s="47" t="s">
        <v>338</v>
      </c>
      <c r="M178" s="43"/>
      <c r="N178" s="44"/>
      <c r="O178" s="67"/>
      <c r="P178" s="70"/>
      <c r="Q178" s="71"/>
      <c r="R178" s="71"/>
      <c r="S178" s="72"/>
      <c r="T178" s="67"/>
      <c r="U178" s="42" t="s">
        <v>338</v>
      </c>
      <c r="V178" s="42" t="s">
        <v>338</v>
      </c>
      <c r="W178" s="42" t="s">
        <v>338</v>
      </c>
      <c r="X178" s="45" t="s">
        <v>338</v>
      </c>
    </row>
    <row r="179" spans="2:24" s="29" customFormat="1" ht="33" customHeight="1">
      <c r="B179" s="50"/>
      <c r="C179" s="49"/>
      <c r="D179" s="39"/>
      <c r="E179" s="39"/>
      <c r="F179" s="49"/>
      <c r="G179" s="39"/>
      <c r="H179" s="39"/>
      <c r="I179" s="50"/>
      <c r="J179" s="28"/>
      <c r="K179" s="43"/>
      <c r="L179" s="47" t="s">
        <v>338</v>
      </c>
      <c r="M179" s="43"/>
      <c r="N179" s="44"/>
      <c r="O179" s="67"/>
      <c r="P179" s="70"/>
      <c r="Q179" s="71"/>
      <c r="R179" s="71"/>
      <c r="S179" s="72"/>
      <c r="T179" s="67"/>
      <c r="U179" s="42" t="s">
        <v>338</v>
      </c>
      <c r="V179" s="42" t="s">
        <v>338</v>
      </c>
      <c r="W179" s="42" t="s">
        <v>338</v>
      </c>
      <c r="X179" s="45" t="s">
        <v>338</v>
      </c>
    </row>
    <row r="180" spans="2:24" s="29" customFormat="1" ht="33" customHeight="1">
      <c r="B180" s="50"/>
      <c r="C180" s="49"/>
      <c r="D180" s="39"/>
      <c r="E180" s="39"/>
      <c r="F180" s="49"/>
      <c r="G180" s="39"/>
      <c r="H180" s="39"/>
      <c r="I180" s="50"/>
      <c r="J180" s="28"/>
      <c r="K180" s="43"/>
      <c r="L180" s="47" t="s">
        <v>338</v>
      </c>
      <c r="M180" s="43"/>
      <c r="N180" s="44"/>
      <c r="O180" s="67"/>
      <c r="P180" s="70"/>
      <c r="Q180" s="71"/>
      <c r="R180" s="71"/>
      <c r="S180" s="72"/>
      <c r="T180" s="67"/>
      <c r="U180" s="42" t="s">
        <v>338</v>
      </c>
      <c r="V180" s="42" t="s">
        <v>338</v>
      </c>
      <c r="W180" s="42" t="s">
        <v>338</v>
      </c>
      <c r="X180" s="45" t="s">
        <v>338</v>
      </c>
    </row>
    <row r="181" spans="2:24" s="29" customFormat="1" ht="33" customHeight="1">
      <c r="B181" s="50"/>
      <c r="C181" s="49"/>
      <c r="D181" s="39"/>
      <c r="E181" s="39"/>
      <c r="F181" s="49"/>
      <c r="G181" s="39"/>
      <c r="H181" s="39"/>
      <c r="I181" s="50"/>
      <c r="J181" s="28"/>
      <c r="K181" s="43"/>
      <c r="L181" s="47" t="s">
        <v>338</v>
      </c>
      <c r="M181" s="43"/>
      <c r="N181" s="44"/>
      <c r="O181" s="67"/>
      <c r="P181" s="70"/>
      <c r="Q181" s="71"/>
      <c r="R181" s="71"/>
      <c r="S181" s="72"/>
      <c r="T181" s="67"/>
      <c r="U181" s="42" t="s">
        <v>338</v>
      </c>
      <c r="V181" s="42" t="s">
        <v>338</v>
      </c>
      <c r="W181" s="42" t="s">
        <v>338</v>
      </c>
      <c r="X181" s="45" t="s">
        <v>338</v>
      </c>
    </row>
    <row r="182" spans="2:24" s="29" customFormat="1" ht="33" customHeight="1">
      <c r="B182" s="50"/>
      <c r="C182" s="49"/>
      <c r="D182" s="39"/>
      <c r="E182" s="39"/>
      <c r="F182" s="49"/>
      <c r="G182" s="39"/>
      <c r="H182" s="39"/>
      <c r="I182" s="50"/>
      <c r="J182" s="28"/>
      <c r="K182" s="43"/>
      <c r="L182" s="47" t="s">
        <v>338</v>
      </c>
      <c r="M182" s="43"/>
      <c r="N182" s="44"/>
      <c r="O182" s="67"/>
      <c r="P182" s="70"/>
      <c r="Q182" s="71"/>
      <c r="R182" s="71"/>
      <c r="S182" s="72"/>
      <c r="T182" s="67"/>
      <c r="U182" s="42" t="s">
        <v>338</v>
      </c>
      <c r="V182" s="42" t="s">
        <v>338</v>
      </c>
      <c r="W182" s="42" t="s">
        <v>338</v>
      </c>
      <c r="X182" s="45" t="s">
        <v>338</v>
      </c>
    </row>
    <row r="183" spans="2:24" s="29" customFormat="1" ht="33" customHeight="1">
      <c r="B183" s="50"/>
      <c r="C183" s="49"/>
      <c r="D183" s="39"/>
      <c r="E183" s="39"/>
      <c r="F183" s="49"/>
      <c r="G183" s="39"/>
      <c r="H183" s="39"/>
      <c r="I183" s="50"/>
      <c r="J183" s="28"/>
      <c r="K183" s="43"/>
      <c r="L183" s="47" t="s">
        <v>338</v>
      </c>
      <c r="M183" s="43"/>
      <c r="N183" s="44"/>
      <c r="O183" s="67"/>
      <c r="P183" s="70"/>
      <c r="Q183" s="71"/>
      <c r="R183" s="71"/>
      <c r="S183" s="72"/>
      <c r="T183" s="67"/>
      <c r="U183" s="42" t="s">
        <v>338</v>
      </c>
      <c r="V183" s="42" t="s">
        <v>338</v>
      </c>
      <c r="W183" s="42" t="s">
        <v>338</v>
      </c>
      <c r="X183" s="45" t="s">
        <v>338</v>
      </c>
    </row>
    <row r="184" spans="2:24" s="29" customFormat="1" ht="33" customHeight="1">
      <c r="B184" s="50"/>
      <c r="C184" s="49"/>
      <c r="D184" s="39"/>
      <c r="E184" s="39"/>
      <c r="F184" s="49"/>
      <c r="G184" s="39"/>
      <c r="H184" s="39"/>
      <c r="I184" s="50"/>
      <c r="J184" s="28"/>
      <c r="K184" s="43"/>
      <c r="L184" s="47" t="s">
        <v>338</v>
      </c>
      <c r="M184" s="43"/>
      <c r="N184" s="44"/>
      <c r="O184" s="67"/>
      <c r="P184" s="70"/>
      <c r="Q184" s="71"/>
      <c r="R184" s="71"/>
      <c r="S184" s="72"/>
      <c r="T184" s="67"/>
      <c r="U184" s="42" t="s">
        <v>338</v>
      </c>
      <c r="V184" s="42" t="s">
        <v>338</v>
      </c>
      <c r="W184" s="42" t="s">
        <v>338</v>
      </c>
      <c r="X184" s="45" t="s">
        <v>338</v>
      </c>
    </row>
    <row r="185" spans="2:24" s="29" customFormat="1" ht="33" customHeight="1">
      <c r="B185" s="50"/>
      <c r="C185" s="49"/>
      <c r="D185" s="39"/>
      <c r="E185" s="39"/>
      <c r="F185" s="49"/>
      <c r="G185" s="39"/>
      <c r="H185" s="39"/>
      <c r="I185" s="50"/>
      <c r="J185" s="28"/>
      <c r="K185" s="43"/>
      <c r="L185" s="47" t="s">
        <v>338</v>
      </c>
      <c r="M185" s="43"/>
      <c r="N185" s="44"/>
      <c r="O185" s="67"/>
      <c r="P185" s="70"/>
      <c r="Q185" s="71"/>
      <c r="R185" s="71"/>
      <c r="S185" s="72"/>
      <c r="T185" s="67"/>
      <c r="U185" s="42" t="s">
        <v>338</v>
      </c>
      <c r="V185" s="42" t="s">
        <v>338</v>
      </c>
      <c r="W185" s="42" t="s">
        <v>338</v>
      </c>
      <c r="X185" s="45" t="s">
        <v>338</v>
      </c>
    </row>
    <row r="186" spans="2:24" s="29" customFormat="1" ht="33" customHeight="1">
      <c r="B186" s="50"/>
      <c r="C186" s="49"/>
      <c r="D186" s="39"/>
      <c r="E186" s="39"/>
      <c r="F186" s="49"/>
      <c r="G186" s="39"/>
      <c r="H186" s="39"/>
      <c r="I186" s="50"/>
      <c r="J186" s="28"/>
      <c r="K186" s="43"/>
      <c r="L186" s="47" t="s">
        <v>338</v>
      </c>
      <c r="M186" s="43"/>
      <c r="N186" s="44"/>
      <c r="O186" s="67"/>
      <c r="P186" s="70"/>
      <c r="Q186" s="71"/>
      <c r="R186" s="71"/>
      <c r="S186" s="72"/>
      <c r="T186" s="67"/>
      <c r="U186" s="42" t="s">
        <v>338</v>
      </c>
      <c r="V186" s="42" t="s">
        <v>338</v>
      </c>
      <c r="W186" s="42" t="s">
        <v>338</v>
      </c>
      <c r="X186" s="45" t="s">
        <v>338</v>
      </c>
    </row>
    <row r="187" spans="2:24" s="29" customFormat="1" ht="33" customHeight="1">
      <c r="B187" s="50"/>
      <c r="C187" s="49"/>
      <c r="D187" s="39"/>
      <c r="E187" s="39"/>
      <c r="F187" s="49"/>
      <c r="G187" s="39"/>
      <c r="H187" s="39"/>
      <c r="I187" s="50"/>
      <c r="J187" s="28"/>
      <c r="K187" s="43"/>
      <c r="L187" s="47" t="s">
        <v>338</v>
      </c>
      <c r="M187" s="43"/>
      <c r="N187" s="44"/>
      <c r="O187" s="67"/>
      <c r="P187" s="70"/>
      <c r="Q187" s="71"/>
      <c r="R187" s="71"/>
      <c r="S187" s="72"/>
      <c r="T187" s="67"/>
      <c r="U187" s="42" t="s">
        <v>338</v>
      </c>
      <c r="V187" s="42" t="s">
        <v>338</v>
      </c>
      <c r="W187" s="42" t="s">
        <v>338</v>
      </c>
      <c r="X187" s="45" t="s">
        <v>338</v>
      </c>
    </row>
    <row r="188" spans="2:24" s="29" customFormat="1" ht="33" customHeight="1">
      <c r="B188" s="50"/>
      <c r="C188" s="49"/>
      <c r="D188" s="39"/>
      <c r="E188" s="39"/>
      <c r="F188" s="49"/>
      <c r="G188" s="39"/>
      <c r="H188" s="39"/>
      <c r="I188" s="50"/>
      <c r="J188" s="28"/>
      <c r="K188" s="43"/>
      <c r="L188" s="47" t="s">
        <v>338</v>
      </c>
      <c r="M188" s="43"/>
      <c r="N188" s="44"/>
      <c r="O188" s="67"/>
      <c r="P188" s="70"/>
      <c r="Q188" s="71"/>
      <c r="R188" s="71"/>
      <c r="S188" s="72"/>
      <c r="T188" s="67"/>
      <c r="U188" s="42" t="s">
        <v>338</v>
      </c>
      <c r="V188" s="42" t="s">
        <v>338</v>
      </c>
      <c r="W188" s="42" t="s">
        <v>338</v>
      </c>
      <c r="X188" s="45" t="s">
        <v>338</v>
      </c>
    </row>
    <row r="189" spans="2:24" s="29" customFormat="1" ht="33" customHeight="1">
      <c r="B189" s="50"/>
      <c r="C189" s="49"/>
      <c r="D189" s="39"/>
      <c r="E189" s="39"/>
      <c r="F189" s="49"/>
      <c r="G189" s="39"/>
      <c r="H189" s="39"/>
      <c r="I189" s="50"/>
      <c r="J189" s="28"/>
      <c r="K189" s="43"/>
      <c r="L189" s="47" t="s">
        <v>338</v>
      </c>
      <c r="M189" s="43"/>
      <c r="N189" s="44"/>
      <c r="O189" s="67"/>
      <c r="P189" s="70"/>
      <c r="Q189" s="71"/>
      <c r="R189" s="71"/>
      <c r="S189" s="72"/>
      <c r="T189" s="67"/>
      <c r="U189" s="42" t="s">
        <v>338</v>
      </c>
      <c r="V189" s="42" t="s">
        <v>338</v>
      </c>
      <c r="W189" s="42" t="s">
        <v>338</v>
      </c>
      <c r="X189" s="45" t="s">
        <v>338</v>
      </c>
    </row>
    <row r="190" spans="2:24" s="29" customFormat="1" ht="33" customHeight="1">
      <c r="B190" s="50"/>
      <c r="C190" s="49"/>
      <c r="D190" s="39"/>
      <c r="E190" s="39"/>
      <c r="F190" s="49"/>
      <c r="G190" s="39"/>
      <c r="H190" s="39"/>
      <c r="I190" s="50"/>
      <c r="J190" s="28"/>
      <c r="K190" s="43"/>
      <c r="L190" s="47" t="s">
        <v>338</v>
      </c>
      <c r="M190" s="43"/>
      <c r="N190" s="44"/>
      <c r="O190" s="67"/>
      <c r="P190" s="70"/>
      <c r="Q190" s="71"/>
      <c r="R190" s="71"/>
      <c r="S190" s="72"/>
      <c r="T190" s="67"/>
      <c r="U190" s="42" t="s">
        <v>338</v>
      </c>
      <c r="V190" s="42" t="s">
        <v>338</v>
      </c>
      <c r="W190" s="42" t="s">
        <v>338</v>
      </c>
      <c r="X190" s="45" t="s">
        <v>338</v>
      </c>
    </row>
    <row r="191" spans="2:24" s="29" customFormat="1" ht="33" customHeight="1">
      <c r="B191" s="50"/>
      <c r="C191" s="49"/>
      <c r="D191" s="39"/>
      <c r="E191" s="39"/>
      <c r="F191" s="49"/>
      <c r="G191" s="39"/>
      <c r="H191" s="39"/>
      <c r="I191" s="50"/>
      <c r="J191" s="28"/>
      <c r="K191" s="43"/>
      <c r="L191" s="47" t="s">
        <v>338</v>
      </c>
      <c r="M191" s="43"/>
      <c r="N191" s="44"/>
      <c r="O191" s="67"/>
      <c r="P191" s="70"/>
      <c r="Q191" s="71"/>
      <c r="R191" s="71"/>
      <c r="S191" s="72"/>
      <c r="T191" s="67"/>
      <c r="U191" s="42" t="s">
        <v>338</v>
      </c>
      <c r="V191" s="42" t="s">
        <v>338</v>
      </c>
      <c r="W191" s="42" t="s">
        <v>338</v>
      </c>
      <c r="X191" s="45" t="s">
        <v>338</v>
      </c>
    </row>
    <row r="192" spans="2:24" s="29" customFormat="1" ht="33" customHeight="1">
      <c r="B192" s="50"/>
      <c r="C192" s="49"/>
      <c r="D192" s="39"/>
      <c r="E192" s="39"/>
      <c r="F192" s="49"/>
      <c r="G192" s="39"/>
      <c r="H192" s="39"/>
      <c r="I192" s="50"/>
      <c r="J192" s="28"/>
      <c r="K192" s="43"/>
      <c r="L192" s="47" t="s">
        <v>338</v>
      </c>
      <c r="M192" s="43"/>
      <c r="N192" s="44"/>
      <c r="O192" s="67"/>
      <c r="P192" s="70"/>
      <c r="Q192" s="71"/>
      <c r="R192" s="71"/>
      <c r="S192" s="72"/>
      <c r="T192" s="67"/>
      <c r="U192" s="42" t="s">
        <v>338</v>
      </c>
      <c r="V192" s="42" t="s">
        <v>338</v>
      </c>
      <c r="W192" s="42" t="s">
        <v>338</v>
      </c>
      <c r="X192" s="45" t="s">
        <v>338</v>
      </c>
    </row>
    <row r="193" spans="2:24" s="29" customFormat="1" ht="33" customHeight="1">
      <c r="B193" s="50"/>
      <c r="C193" s="49"/>
      <c r="D193" s="39"/>
      <c r="E193" s="39"/>
      <c r="F193" s="49"/>
      <c r="G193" s="39"/>
      <c r="H193" s="39"/>
      <c r="I193" s="50"/>
      <c r="J193" s="28"/>
      <c r="K193" s="43"/>
      <c r="L193" s="47" t="s">
        <v>338</v>
      </c>
      <c r="M193" s="43"/>
      <c r="N193" s="44"/>
      <c r="O193" s="67"/>
      <c r="P193" s="70"/>
      <c r="Q193" s="71"/>
      <c r="R193" s="71"/>
      <c r="S193" s="72"/>
      <c r="T193" s="67"/>
      <c r="U193" s="42" t="s">
        <v>338</v>
      </c>
      <c r="V193" s="42" t="s">
        <v>338</v>
      </c>
      <c r="W193" s="42" t="s">
        <v>338</v>
      </c>
      <c r="X193" s="45" t="s">
        <v>338</v>
      </c>
    </row>
    <row r="194" spans="2:24" s="29" customFormat="1" ht="33" customHeight="1">
      <c r="B194" s="50"/>
      <c r="C194" s="49"/>
      <c r="D194" s="39"/>
      <c r="E194" s="39"/>
      <c r="F194" s="49"/>
      <c r="G194" s="39"/>
      <c r="H194" s="39"/>
      <c r="I194" s="50"/>
      <c r="J194" s="28"/>
      <c r="K194" s="43"/>
      <c r="L194" s="47" t="s">
        <v>338</v>
      </c>
      <c r="M194" s="43"/>
      <c r="N194" s="44"/>
      <c r="O194" s="67"/>
      <c r="P194" s="70"/>
      <c r="Q194" s="71"/>
      <c r="R194" s="71"/>
      <c r="S194" s="72"/>
      <c r="T194" s="67"/>
      <c r="U194" s="42" t="s">
        <v>338</v>
      </c>
      <c r="V194" s="42" t="s">
        <v>338</v>
      </c>
      <c r="W194" s="42" t="s">
        <v>338</v>
      </c>
      <c r="X194" s="45" t="s">
        <v>338</v>
      </c>
    </row>
    <row r="195" spans="2:24" s="29" customFormat="1" ht="33" customHeight="1">
      <c r="B195" s="50"/>
      <c r="C195" s="49"/>
      <c r="D195" s="39"/>
      <c r="E195" s="39"/>
      <c r="F195" s="49"/>
      <c r="G195" s="39"/>
      <c r="H195" s="39"/>
      <c r="I195" s="50"/>
      <c r="J195" s="28"/>
      <c r="K195" s="43"/>
      <c r="L195" s="47" t="s">
        <v>338</v>
      </c>
      <c r="M195" s="43"/>
      <c r="N195" s="44"/>
      <c r="O195" s="67"/>
      <c r="P195" s="70"/>
      <c r="Q195" s="71"/>
      <c r="R195" s="71"/>
      <c r="S195" s="72"/>
      <c r="T195" s="67"/>
      <c r="U195" s="42" t="s">
        <v>338</v>
      </c>
      <c r="V195" s="42" t="s">
        <v>338</v>
      </c>
      <c r="W195" s="42" t="s">
        <v>338</v>
      </c>
      <c r="X195" s="45" t="s">
        <v>338</v>
      </c>
    </row>
    <row r="196" spans="2:24" s="29" customFormat="1" ht="33" customHeight="1">
      <c r="B196" s="50"/>
      <c r="C196" s="49"/>
      <c r="D196" s="39"/>
      <c r="E196" s="39"/>
      <c r="F196" s="49"/>
      <c r="G196" s="39"/>
      <c r="H196" s="39"/>
      <c r="I196" s="50"/>
      <c r="J196" s="28"/>
      <c r="K196" s="43"/>
      <c r="L196" s="47" t="s">
        <v>338</v>
      </c>
      <c r="M196" s="43"/>
      <c r="N196" s="44"/>
      <c r="O196" s="67"/>
      <c r="P196" s="70"/>
      <c r="Q196" s="71"/>
      <c r="R196" s="71"/>
      <c r="S196" s="72"/>
      <c r="T196" s="67"/>
      <c r="U196" s="42" t="s">
        <v>338</v>
      </c>
      <c r="V196" s="42" t="s">
        <v>338</v>
      </c>
      <c r="W196" s="42" t="s">
        <v>338</v>
      </c>
      <c r="X196" s="45" t="s">
        <v>338</v>
      </c>
    </row>
    <row r="197" spans="2:24" s="29" customFormat="1" ht="33" customHeight="1">
      <c r="B197" s="50"/>
      <c r="C197" s="49"/>
      <c r="D197" s="39"/>
      <c r="E197" s="39"/>
      <c r="F197" s="49"/>
      <c r="G197" s="39"/>
      <c r="H197" s="39"/>
      <c r="I197" s="50"/>
      <c r="J197" s="28"/>
      <c r="K197" s="43"/>
      <c r="L197" s="47" t="s">
        <v>338</v>
      </c>
      <c r="M197" s="43"/>
      <c r="N197" s="44"/>
      <c r="O197" s="67"/>
      <c r="P197" s="70"/>
      <c r="Q197" s="71"/>
      <c r="R197" s="71"/>
      <c r="S197" s="72"/>
      <c r="T197" s="67"/>
      <c r="U197" s="42" t="s">
        <v>338</v>
      </c>
      <c r="V197" s="42" t="s">
        <v>338</v>
      </c>
      <c r="W197" s="42" t="s">
        <v>338</v>
      </c>
      <c r="X197" s="45" t="s">
        <v>338</v>
      </c>
    </row>
    <row r="198" spans="2:24" s="29" customFormat="1" ht="33" customHeight="1">
      <c r="B198" s="50"/>
      <c r="C198" s="49"/>
      <c r="D198" s="39"/>
      <c r="E198" s="39"/>
      <c r="F198" s="49"/>
      <c r="G198" s="39"/>
      <c r="H198" s="39"/>
      <c r="I198" s="50"/>
      <c r="J198" s="28"/>
      <c r="K198" s="43"/>
      <c r="L198" s="47" t="s">
        <v>338</v>
      </c>
      <c r="M198" s="43"/>
      <c r="N198" s="44"/>
      <c r="O198" s="67"/>
      <c r="P198" s="70"/>
      <c r="Q198" s="71"/>
      <c r="R198" s="71"/>
      <c r="S198" s="72"/>
      <c r="T198" s="67"/>
      <c r="U198" s="42" t="s">
        <v>338</v>
      </c>
      <c r="V198" s="42" t="s">
        <v>338</v>
      </c>
      <c r="W198" s="42" t="s">
        <v>338</v>
      </c>
      <c r="X198" s="45" t="s">
        <v>338</v>
      </c>
    </row>
    <row r="199" spans="2:24" s="29" customFormat="1" ht="33" customHeight="1">
      <c r="B199" s="50"/>
      <c r="C199" s="49"/>
      <c r="D199" s="39"/>
      <c r="E199" s="39"/>
      <c r="F199" s="49"/>
      <c r="G199" s="39"/>
      <c r="H199" s="39"/>
      <c r="I199" s="50"/>
      <c r="J199" s="28"/>
      <c r="K199" s="43"/>
      <c r="L199" s="47" t="s">
        <v>338</v>
      </c>
      <c r="M199" s="43"/>
      <c r="N199" s="44"/>
      <c r="O199" s="67"/>
      <c r="P199" s="70"/>
      <c r="Q199" s="71"/>
      <c r="R199" s="71"/>
      <c r="S199" s="72"/>
      <c r="T199" s="67"/>
      <c r="U199" s="42" t="s">
        <v>338</v>
      </c>
      <c r="V199" s="42" t="s">
        <v>338</v>
      </c>
      <c r="W199" s="42" t="s">
        <v>338</v>
      </c>
      <c r="X199" s="45" t="s">
        <v>338</v>
      </c>
    </row>
    <row r="200" spans="2:24" s="29" customFormat="1" ht="33" customHeight="1">
      <c r="B200" s="50"/>
      <c r="C200" s="49"/>
      <c r="D200" s="39"/>
      <c r="E200" s="39"/>
      <c r="F200" s="49"/>
      <c r="G200" s="39"/>
      <c r="H200" s="39"/>
      <c r="I200" s="50"/>
      <c r="J200" s="28"/>
      <c r="K200" s="43"/>
      <c r="L200" s="47" t="s">
        <v>338</v>
      </c>
      <c r="M200" s="43"/>
      <c r="N200" s="44"/>
      <c r="O200" s="67"/>
      <c r="P200" s="70"/>
      <c r="Q200" s="71"/>
      <c r="R200" s="71"/>
      <c r="S200" s="72"/>
      <c r="T200" s="67"/>
      <c r="U200" s="42" t="s">
        <v>338</v>
      </c>
      <c r="V200" s="42" t="s">
        <v>338</v>
      </c>
      <c r="W200" s="42" t="s">
        <v>338</v>
      </c>
      <c r="X200" s="45" t="s">
        <v>338</v>
      </c>
    </row>
    <row r="201" spans="2:24" s="29" customFormat="1" ht="33" customHeight="1">
      <c r="B201" s="50"/>
      <c r="C201" s="49"/>
      <c r="D201" s="39"/>
      <c r="E201" s="39"/>
      <c r="F201" s="49"/>
      <c r="G201" s="39"/>
      <c r="H201" s="39"/>
      <c r="I201" s="50"/>
      <c r="J201" s="28"/>
      <c r="K201" s="43"/>
      <c r="L201" s="47" t="s">
        <v>338</v>
      </c>
      <c r="M201" s="43"/>
      <c r="N201" s="44"/>
      <c r="O201" s="67"/>
      <c r="P201" s="70"/>
      <c r="Q201" s="71"/>
      <c r="R201" s="71"/>
      <c r="S201" s="72"/>
      <c r="T201" s="67"/>
      <c r="U201" s="42" t="s">
        <v>338</v>
      </c>
      <c r="V201" s="42" t="s">
        <v>338</v>
      </c>
      <c r="W201" s="42" t="s">
        <v>338</v>
      </c>
      <c r="X201" s="45" t="s">
        <v>338</v>
      </c>
    </row>
    <row r="202" spans="2:24" s="29" customFormat="1" ht="33" customHeight="1">
      <c r="B202" s="50"/>
      <c r="C202" s="49"/>
      <c r="D202" s="39"/>
      <c r="E202" s="39"/>
      <c r="F202" s="49"/>
      <c r="G202" s="39"/>
      <c r="H202" s="39"/>
      <c r="I202" s="50"/>
      <c r="J202" s="28"/>
      <c r="K202" s="43"/>
      <c r="L202" s="47" t="s">
        <v>338</v>
      </c>
      <c r="M202" s="43"/>
      <c r="N202" s="44"/>
      <c r="O202" s="67"/>
      <c r="P202" s="70"/>
      <c r="Q202" s="71"/>
      <c r="R202" s="71"/>
      <c r="S202" s="72"/>
      <c r="T202" s="67"/>
      <c r="U202" s="42" t="s">
        <v>338</v>
      </c>
      <c r="V202" s="42" t="s">
        <v>338</v>
      </c>
      <c r="W202" s="42" t="s">
        <v>338</v>
      </c>
      <c r="X202" s="45" t="s">
        <v>338</v>
      </c>
    </row>
    <row r="203" spans="2:24" s="29" customFormat="1" ht="33" customHeight="1">
      <c r="B203" s="50"/>
      <c r="C203" s="49"/>
      <c r="D203" s="39"/>
      <c r="E203" s="39"/>
      <c r="F203" s="49"/>
      <c r="G203" s="39"/>
      <c r="H203" s="39"/>
      <c r="I203" s="50"/>
      <c r="J203" s="28"/>
      <c r="K203" s="43"/>
      <c r="L203" s="47" t="s">
        <v>338</v>
      </c>
      <c r="M203" s="43"/>
      <c r="N203" s="44"/>
      <c r="O203" s="67"/>
      <c r="P203" s="70"/>
      <c r="Q203" s="71"/>
      <c r="R203" s="71"/>
      <c r="S203" s="72"/>
      <c r="T203" s="67"/>
      <c r="U203" s="42" t="s">
        <v>338</v>
      </c>
      <c r="V203" s="42" t="s">
        <v>338</v>
      </c>
      <c r="W203" s="42" t="s">
        <v>338</v>
      </c>
      <c r="X203" s="45" t="s">
        <v>338</v>
      </c>
    </row>
    <row r="204" spans="2:24" s="29" customFormat="1" ht="33" customHeight="1">
      <c r="B204" s="50"/>
      <c r="C204" s="49"/>
      <c r="D204" s="39"/>
      <c r="E204" s="39"/>
      <c r="F204" s="49"/>
      <c r="G204" s="39"/>
      <c r="H204" s="39"/>
      <c r="I204" s="50"/>
      <c r="J204" s="28"/>
      <c r="K204" s="43"/>
      <c r="L204" s="47" t="s">
        <v>338</v>
      </c>
      <c r="M204" s="43"/>
      <c r="N204" s="44"/>
      <c r="O204" s="67"/>
      <c r="P204" s="70"/>
      <c r="Q204" s="71"/>
      <c r="R204" s="71"/>
      <c r="S204" s="72"/>
      <c r="T204" s="67"/>
      <c r="U204" s="42" t="s">
        <v>338</v>
      </c>
      <c r="V204" s="42" t="s">
        <v>338</v>
      </c>
      <c r="W204" s="42" t="s">
        <v>338</v>
      </c>
      <c r="X204" s="45" t="s">
        <v>338</v>
      </c>
    </row>
    <row r="205" spans="2:24" s="29" customFormat="1" ht="33" customHeight="1">
      <c r="B205" s="50"/>
      <c r="C205" s="49"/>
      <c r="D205" s="39"/>
      <c r="E205" s="39"/>
      <c r="F205" s="49"/>
      <c r="G205" s="39"/>
      <c r="H205" s="39"/>
      <c r="I205" s="50"/>
      <c r="J205" s="28"/>
      <c r="K205" s="43"/>
      <c r="L205" s="47" t="s">
        <v>338</v>
      </c>
      <c r="M205" s="43"/>
      <c r="N205" s="44"/>
      <c r="O205" s="67"/>
      <c r="P205" s="70"/>
      <c r="Q205" s="71"/>
      <c r="R205" s="71"/>
      <c r="S205" s="72"/>
      <c r="T205" s="67"/>
      <c r="U205" s="42" t="s">
        <v>338</v>
      </c>
      <c r="V205" s="42" t="s">
        <v>338</v>
      </c>
      <c r="W205" s="42" t="s">
        <v>338</v>
      </c>
      <c r="X205" s="45" t="s">
        <v>338</v>
      </c>
    </row>
    <row r="206" spans="2:24" s="29" customFormat="1" ht="33" customHeight="1">
      <c r="B206" s="50"/>
      <c r="C206" s="49"/>
      <c r="D206" s="39"/>
      <c r="E206" s="39"/>
      <c r="F206" s="49"/>
      <c r="G206" s="39"/>
      <c r="H206" s="39"/>
      <c r="I206" s="50"/>
      <c r="J206" s="28"/>
      <c r="K206" s="43"/>
      <c r="L206" s="47" t="s">
        <v>338</v>
      </c>
      <c r="M206" s="43"/>
      <c r="N206" s="44"/>
      <c r="O206" s="67"/>
      <c r="P206" s="70"/>
      <c r="Q206" s="71"/>
      <c r="R206" s="71"/>
      <c r="S206" s="72"/>
      <c r="T206" s="67"/>
      <c r="U206" s="42" t="s">
        <v>338</v>
      </c>
      <c r="V206" s="42" t="s">
        <v>338</v>
      </c>
      <c r="W206" s="42" t="s">
        <v>338</v>
      </c>
      <c r="X206" s="45" t="s">
        <v>338</v>
      </c>
    </row>
    <row r="207" spans="2:24" s="29" customFormat="1" ht="33" customHeight="1">
      <c r="B207" s="50"/>
      <c r="C207" s="49"/>
      <c r="D207" s="39"/>
      <c r="E207" s="39"/>
      <c r="F207" s="49"/>
      <c r="G207" s="39"/>
      <c r="H207" s="39"/>
      <c r="I207" s="50"/>
      <c r="J207" s="28"/>
      <c r="K207" s="43"/>
      <c r="L207" s="47" t="s">
        <v>338</v>
      </c>
      <c r="M207" s="43"/>
      <c r="N207" s="44"/>
      <c r="O207" s="67"/>
      <c r="P207" s="70"/>
      <c r="Q207" s="71"/>
      <c r="R207" s="71"/>
      <c r="S207" s="72"/>
      <c r="T207" s="67"/>
      <c r="U207" s="42" t="s">
        <v>338</v>
      </c>
      <c r="V207" s="42" t="s">
        <v>338</v>
      </c>
      <c r="W207" s="42" t="s">
        <v>338</v>
      </c>
      <c r="X207" s="45" t="s">
        <v>338</v>
      </c>
    </row>
    <row r="208" spans="2:24" s="29" customFormat="1" ht="33" customHeight="1">
      <c r="B208" s="50"/>
      <c r="C208" s="49"/>
      <c r="D208" s="39"/>
      <c r="E208" s="39"/>
      <c r="F208" s="49"/>
      <c r="G208" s="39"/>
      <c r="H208" s="39"/>
      <c r="I208" s="50"/>
      <c r="J208" s="28"/>
      <c r="K208" s="43"/>
      <c r="L208" s="47" t="s">
        <v>338</v>
      </c>
      <c r="M208" s="43"/>
      <c r="N208" s="44"/>
      <c r="O208" s="67"/>
      <c r="P208" s="70"/>
      <c r="Q208" s="71"/>
      <c r="R208" s="71"/>
      <c r="S208" s="72"/>
      <c r="T208" s="67"/>
      <c r="U208" s="42" t="s">
        <v>338</v>
      </c>
      <c r="V208" s="42" t="s">
        <v>338</v>
      </c>
      <c r="W208" s="42" t="s">
        <v>338</v>
      </c>
      <c r="X208" s="45" t="s">
        <v>338</v>
      </c>
    </row>
    <row r="209" spans="2:24" s="29" customFormat="1" ht="33" customHeight="1">
      <c r="B209" s="50"/>
      <c r="C209" s="49"/>
      <c r="D209" s="39"/>
      <c r="E209" s="39"/>
      <c r="F209" s="49"/>
      <c r="G209" s="39"/>
      <c r="H209" s="39"/>
      <c r="I209" s="50"/>
      <c r="J209" s="28"/>
      <c r="K209" s="43"/>
      <c r="L209" s="47" t="s">
        <v>338</v>
      </c>
      <c r="M209" s="43"/>
      <c r="N209" s="44"/>
      <c r="O209" s="67"/>
      <c r="P209" s="70"/>
      <c r="Q209" s="71"/>
      <c r="R209" s="71"/>
      <c r="S209" s="72"/>
      <c r="T209" s="67"/>
      <c r="U209" s="42" t="s">
        <v>338</v>
      </c>
      <c r="V209" s="42" t="s">
        <v>338</v>
      </c>
      <c r="W209" s="42" t="s">
        <v>338</v>
      </c>
      <c r="X209" s="45" t="s">
        <v>338</v>
      </c>
    </row>
    <row r="210" spans="2:24" s="29" customFormat="1" ht="33" customHeight="1">
      <c r="B210" s="50"/>
      <c r="C210" s="49"/>
      <c r="D210" s="39"/>
      <c r="E210" s="39"/>
      <c r="F210" s="49"/>
      <c r="G210" s="39"/>
      <c r="H210" s="39"/>
      <c r="I210" s="50"/>
      <c r="J210" s="28"/>
      <c r="K210" s="43"/>
      <c r="L210" s="47" t="s">
        <v>338</v>
      </c>
      <c r="M210" s="43"/>
      <c r="N210" s="44"/>
      <c r="O210" s="67"/>
      <c r="P210" s="70"/>
      <c r="Q210" s="71"/>
      <c r="R210" s="71"/>
      <c r="S210" s="72"/>
      <c r="T210" s="67"/>
      <c r="U210" s="42" t="s">
        <v>338</v>
      </c>
      <c r="V210" s="42" t="s">
        <v>338</v>
      </c>
      <c r="W210" s="42" t="s">
        <v>338</v>
      </c>
      <c r="X210" s="45" t="s">
        <v>338</v>
      </c>
    </row>
    <row r="211" spans="2:24" s="29" customFormat="1" ht="33" customHeight="1">
      <c r="B211" s="50"/>
      <c r="C211" s="49"/>
      <c r="D211" s="39"/>
      <c r="E211" s="39"/>
      <c r="F211" s="49"/>
      <c r="G211" s="39"/>
      <c r="H211" s="39"/>
      <c r="I211" s="50"/>
      <c r="J211" s="28"/>
      <c r="K211" s="43"/>
      <c r="L211" s="47" t="s">
        <v>338</v>
      </c>
      <c r="M211" s="43"/>
      <c r="N211" s="44"/>
      <c r="O211" s="67"/>
      <c r="P211" s="70"/>
      <c r="Q211" s="71"/>
      <c r="R211" s="71"/>
      <c r="S211" s="72"/>
      <c r="T211" s="67"/>
      <c r="U211" s="42" t="s">
        <v>338</v>
      </c>
      <c r="V211" s="42" t="s">
        <v>338</v>
      </c>
      <c r="W211" s="42" t="s">
        <v>338</v>
      </c>
      <c r="X211" s="45" t="s">
        <v>338</v>
      </c>
    </row>
    <row r="212" spans="2:24" s="29" customFormat="1" ht="33" customHeight="1">
      <c r="B212" s="50"/>
      <c r="C212" s="49"/>
      <c r="D212" s="39"/>
      <c r="E212" s="39"/>
      <c r="F212" s="49"/>
      <c r="G212" s="39"/>
      <c r="H212" s="39"/>
      <c r="I212" s="50"/>
      <c r="J212" s="28"/>
      <c r="K212" s="43"/>
      <c r="L212" s="47" t="s">
        <v>338</v>
      </c>
      <c r="M212" s="43"/>
      <c r="N212" s="44"/>
      <c r="O212" s="67"/>
      <c r="P212" s="70"/>
      <c r="Q212" s="71"/>
      <c r="R212" s="71"/>
      <c r="S212" s="72"/>
      <c r="T212" s="67"/>
      <c r="U212" s="42" t="s">
        <v>338</v>
      </c>
      <c r="V212" s="42" t="s">
        <v>338</v>
      </c>
      <c r="W212" s="42" t="s">
        <v>338</v>
      </c>
      <c r="X212" s="45" t="s">
        <v>338</v>
      </c>
    </row>
    <row r="213" spans="2:24" s="29" customFormat="1" ht="33" customHeight="1">
      <c r="B213" s="50"/>
      <c r="C213" s="49"/>
      <c r="D213" s="39"/>
      <c r="E213" s="39"/>
      <c r="F213" s="49"/>
      <c r="G213" s="39"/>
      <c r="H213" s="39"/>
      <c r="I213" s="50"/>
      <c r="J213" s="28"/>
      <c r="K213" s="43"/>
      <c r="L213" s="47" t="s">
        <v>338</v>
      </c>
      <c r="M213" s="43"/>
      <c r="N213" s="44"/>
      <c r="O213" s="67"/>
      <c r="P213" s="70"/>
      <c r="Q213" s="71"/>
      <c r="R213" s="71"/>
      <c r="S213" s="72"/>
      <c r="T213" s="67"/>
      <c r="U213" s="42" t="s">
        <v>338</v>
      </c>
      <c r="V213" s="42" t="s">
        <v>338</v>
      </c>
      <c r="W213" s="42" t="s">
        <v>338</v>
      </c>
      <c r="X213" s="45" t="s">
        <v>338</v>
      </c>
    </row>
    <row r="214" spans="2:24" s="29" customFormat="1" ht="33" customHeight="1">
      <c r="B214" s="50"/>
      <c r="C214" s="49"/>
      <c r="D214" s="39"/>
      <c r="E214" s="39"/>
      <c r="F214" s="49"/>
      <c r="G214" s="39"/>
      <c r="H214" s="39"/>
      <c r="I214" s="50"/>
      <c r="J214" s="28"/>
      <c r="K214" s="43"/>
      <c r="L214" s="47" t="s">
        <v>338</v>
      </c>
      <c r="M214" s="43"/>
      <c r="N214" s="44"/>
      <c r="O214" s="67"/>
      <c r="P214" s="70"/>
      <c r="Q214" s="71"/>
      <c r="R214" s="71"/>
      <c r="S214" s="72"/>
      <c r="T214" s="67"/>
      <c r="U214" s="42" t="s">
        <v>338</v>
      </c>
      <c r="V214" s="42" t="s">
        <v>338</v>
      </c>
      <c r="W214" s="42" t="s">
        <v>338</v>
      </c>
      <c r="X214" s="45" t="s">
        <v>338</v>
      </c>
    </row>
    <row r="215" spans="2:24" s="29" customFormat="1" ht="33" customHeight="1">
      <c r="B215" s="50"/>
      <c r="C215" s="49"/>
      <c r="D215" s="39"/>
      <c r="E215" s="39"/>
      <c r="F215" s="49"/>
      <c r="G215" s="39"/>
      <c r="H215" s="39"/>
      <c r="I215" s="50"/>
      <c r="J215" s="28"/>
      <c r="K215" s="43"/>
      <c r="L215" s="47" t="s">
        <v>338</v>
      </c>
      <c r="M215" s="43"/>
      <c r="N215" s="44"/>
      <c r="O215" s="67"/>
      <c r="P215" s="70"/>
      <c r="Q215" s="71"/>
      <c r="R215" s="71"/>
      <c r="S215" s="72"/>
      <c r="T215" s="67"/>
      <c r="U215" s="42" t="s">
        <v>338</v>
      </c>
      <c r="V215" s="42" t="s">
        <v>338</v>
      </c>
      <c r="W215" s="42" t="s">
        <v>338</v>
      </c>
      <c r="X215" s="45" t="s">
        <v>338</v>
      </c>
    </row>
    <row r="216" spans="2:24">
      <c r="B216" s="54"/>
      <c r="C216" s="54"/>
      <c r="D216" s="63"/>
      <c r="E216" s="63"/>
      <c r="F216" s="63"/>
      <c r="G216" s="63"/>
      <c r="H216" s="63"/>
      <c r="I216" s="54"/>
      <c r="J216" s="53"/>
      <c r="K216" s="64"/>
      <c r="M216" s="64"/>
      <c r="N216" s="64"/>
      <c r="O216" s="86"/>
      <c r="T216" s="86"/>
    </row>
    <row r="217" spans="2:24">
      <c r="B217" s="54"/>
      <c r="C217" s="54"/>
      <c r="D217" s="63"/>
      <c r="E217" s="63"/>
      <c r="F217" s="63"/>
      <c r="G217" s="63"/>
      <c r="H217" s="63"/>
      <c r="I217" s="54"/>
      <c r="J217" s="53"/>
      <c r="K217" s="64"/>
      <c r="M217" s="64"/>
      <c r="N217" s="64"/>
      <c r="O217" s="86"/>
      <c r="T217" s="86"/>
    </row>
    <row r="218" spans="2:24">
      <c r="B218" s="54"/>
      <c r="C218" s="54"/>
      <c r="D218" s="63"/>
      <c r="E218" s="63"/>
      <c r="F218" s="63"/>
      <c r="G218" s="63"/>
      <c r="H218" s="63"/>
      <c r="I218" s="54"/>
      <c r="J218" s="53"/>
      <c r="K218" s="64"/>
      <c r="M218" s="64"/>
      <c r="N218" s="64"/>
      <c r="O218" s="86"/>
      <c r="T218" s="86"/>
    </row>
    <row r="219" spans="2:24">
      <c r="B219" s="54"/>
      <c r="C219" s="54"/>
      <c r="D219" s="63"/>
      <c r="E219" s="63"/>
      <c r="F219" s="63"/>
      <c r="G219" s="63"/>
      <c r="H219" s="63"/>
      <c r="I219" s="54"/>
      <c r="J219" s="53"/>
      <c r="K219" s="64"/>
      <c r="M219" s="64"/>
      <c r="N219" s="64"/>
      <c r="O219" s="86"/>
      <c r="T219" s="86"/>
    </row>
    <row r="220" spans="2:24">
      <c r="J220" s="53"/>
      <c r="K220" s="64"/>
      <c r="M220" s="64"/>
      <c r="N220" s="64"/>
      <c r="O220" s="86"/>
      <c r="T220" s="86"/>
    </row>
    <row r="221" spans="2:24">
      <c r="J221" s="53"/>
      <c r="K221" s="64"/>
      <c r="M221" s="64"/>
      <c r="N221" s="64"/>
      <c r="O221" s="86"/>
      <c r="T221" s="86"/>
    </row>
    <row r="222" spans="2:24">
      <c r="J222" s="53"/>
      <c r="K222" s="64"/>
      <c r="M222" s="64"/>
      <c r="N222" s="64"/>
      <c r="O222" s="86"/>
      <c r="T222" s="86"/>
    </row>
    <row r="223" spans="2:24">
      <c r="J223" s="53"/>
      <c r="K223" s="64"/>
      <c r="M223" s="64"/>
      <c r="N223" s="64"/>
      <c r="O223" s="86"/>
      <c r="T223" s="86"/>
    </row>
    <row r="224" spans="2:24">
      <c r="J224" s="53"/>
      <c r="K224" s="64"/>
      <c r="M224" s="64"/>
      <c r="N224" s="64"/>
      <c r="O224" s="86"/>
      <c r="T224" s="86"/>
    </row>
    <row r="225" spans="10:20">
      <c r="J225" s="53"/>
      <c r="K225" s="64"/>
      <c r="M225" s="64"/>
      <c r="N225" s="64"/>
      <c r="O225" s="86"/>
      <c r="T225" s="86"/>
    </row>
    <row r="226" spans="10:20">
      <c r="J226" s="53"/>
      <c r="K226" s="64"/>
      <c r="M226" s="64"/>
      <c r="N226" s="64"/>
      <c r="O226" s="86"/>
      <c r="T226" s="86"/>
    </row>
    <row r="227" spans="10:20">
      <c r="J227" s="53"/>
      <c r="K227" s="64"/>
      <c r="M227" s="64"/>
      <c r="N227" s="64"/>
      <c r="O227" s="86"/>
      <c r="T227" s="86"/>
    </row>
    <row r="228" spans="10:20">
      <c r="J228" s="53"/>
      <c r="K228" s="64"/>
      <c r="M228" s="64"/>
      <c r="N228" s="64"/>
      <c r="O228" s="86"/>
      <c r="T228" s="86"/>
    </row>
    <row r="229" spans="10:20">
      <c r="J229" s="53"/>
      <c r="K229" s="64"/>
      <c r="M229" s="64"/>
      <c r="N229" s="64"/>
      <c r="O229" s="86"/>
      <c r="T229" s="86"/>
    </row>
    <row r="230" spans="10:20">
      <c r="J230" s="53"/>
    </row>
  </sheetData>
  <autoFilter ref="B4:X215"/>
  <conditionalFormatting sqref="L204:L215 L79 L81 L7 L13:L15 L11 L5 L33 L48 L52:L54 L65 L67 L62 L72 L77 L75 L86:L93 L38:L40">
    <cfRule type="cellIs" dxfId="549" priority="177" operator="equal">
      <formula>"NO"</formula>
    </cfRule>
    <cfRule type="cellIs" dxfId="548" priority="178" operator="equal">
      <formula>"SI"</formula>
    </cfRule>
  </conditionalFormatting>
  <conditionalFormatting sqref="L94:L104">
    <cfRule type="cellIs" dxfId="547" priority="157" operator="equal">
      <formula>"NO"</formula>
    </cfRule>
    <cfRule type="cellIs" dxfId="546" priority="158" operator="equal">
      <formula>"SI"</formula>
    </cfRule>
  </conditionalFormatting>
  <conditionalFormatting sqref="L193:L203">
    <cfRule type="cellIs" dxfId="545" priority="175" operator="equal">
      <formula>"NO"</formula>
    </cfRule>
    <cfRule type="cellIs" dxfId="544" priority="176" operator="equal">
      <formula>"SI"</formula>
    </cfRule>
  </conditionalFormatting>
  <conditionalFormatting sqref="L182:L192">
    <cfRule type="cellIs" dxfId="543" priority="173" operator="equal">
      <formula>"NO"</formula>
    </cfRule>
    <cfRule type="cellIs" dxfId="542" priority="174" operator="equal">
      <formula>"SI"</formula>
    </cfRule>
  </conditionalFormatting>
  <conditionalFormatting sqref="L171:L181">
    <cfRule type="cellIs" dxfId="541" priority="171" operator="equal">
      <formula>"NO"</formula>
    </cfRule>
    <cfRule type="cellIs" dxfId="540" priority="172" operator="equal">
      <formula>"SI"</formula>
    </cfRule>
  </conditionalFormatting>
  <conditionalFormatting sqref="L160:L170">
    <cfRule type="cellIs" dxfId="539" priority="169" operator="equal">
      <formula>"NO"</formula>
    </cfRule>
    <cfRule type="cellIs" dxfId="538" priority="170" operator="equal">
      <formula>"SI"</formula>
    </cfRule>
  </conditionalFormatting>
  <conditionalFormatting sqref="L149:L159">
    <cfRule type="cellIs" dxfId="537" priority="167" operator="equal">
      <formula>"NO"</formula>
    </cfRule>
    <cfRule type="cellIs" dxfId="536" priority="168" operator="equal">
      <formula>"SI"</formula>
    </cfRule>
  </conditionalFormatting>
  <conditionalFormatting sqref="L138:L148">
    <cfRule type="cellIs" dxfId="535" priority="165" operator="equal">
      <formula>"NO"</formula>
    </cfRule>
    <cfRule type="cellIs" dxfId="534" priority="166" operator="equal">
      <formula>"SI"</formula>
    </cfRule>
  </conditionalFormatting>
  <conditionalFormatting sqref="L127:L137">
    <cfRule type="cellIs" dxfId="533" priority="163" operator="equal">
      <formula>"NO"</formula>
    </cfRule>
    <cfRule type="cellIs" dxfId="532" priority="164" operator="equal">
      <formula>"SI"</formula>
    </cfRule>
  </conditionalFormatting>
  <conditionalFormatting sqref="L116:L126">
    <cfRule type="cellIs" dxfId="531" priority="161" operator="equal">
      <formula>"NO"</formula>
    </cfRule>
    <cfRule type="cellIs" dxfId="530" priority="162" operator="equal">
      <formula>"SI"</formula>
    </cfRule>
  </conditionalFormatting>
  <conditionalFormatting sqref="L105:L115">
    <cfRule type="cellIs" dxfId="529" priority="159" operator="equal">
      <formula>"NO"</formula>
    </cfRule>
    <cfRule type="cellIs" dxfId="528" priority="160" operator="equal">
      <formula>"SI"</formula>
    </cfRule>
  </conditionalFormatting>
  <conditionalFormatting sqref="L16">
    <cfRule type="cellIs" dxfId="527" priority="155" operator="equal">
      <formula>"NO"</formula>
    </cfRule>
    <cfRule type="cellIs" dxfId="526" priority="156" operator="equal">
      <formula>"SI"</formula>
    </cfRule>
  </conditionalFormatting>
  <conditionalFormatting sqref="L9">
    <cfRule type="cellIs" dxfId="525" priority="153" operator="equal">
      <formula>"NO"</formula>
    </cfRule>
    <cfRule type="cellIs" dxfId="524" priority="154" operator="equal">
      <formula>"SI"</formula>
    </cfRule>
  </conditionalFormatting>
  <conditionalFormatting sqref="L21">
    <cfRule type="cellIs" dxfId="523" priority="151" operator="equal">
      <formula>"NO"</formula>
    </cfRule>
    <cfRule type="cellIs" dxfId="522" priority="152" operator="equal">
      <formula>"SI"</formula>
    </cfRule>
  </conditionalFormatting>
  <conditionalFormatting sqref="L12">
    <cfRule type="cellIs" dxfId="521" priority="149" operator="equal">
      <formula>"NO"</formula>
    </cfRule>
    <cfRule type="cellIs" dxfId="520" priority="150" operator="equal">
      <formula>"SI"</formula>
    </cfRule>
  </conditionalFormatting>
  <conditionalFormatting sqref="L17">
    <cfRule type="cellIs" dxfId="519" priority="147" operator="equal">
      <formula>"NO"</formula>
    </cfRule>
    <cfRule type="cellIs" dxfId="518" priority="148" operator="equal">
      <formula>"SI"</formula>
    </cfRule>
  </conditionalFormatting>
  <conditionalFormatting sqref="L8">
    <cfRule type="cellIs" dxfId="517" priority="145" operator="equal">
      <formula>"NO"</formula>
    </cfRule>
    <cfRule type="cellIs" dxfId="516" priority="146" operator="equal">
      <formula>"SI"</formula>
    </cfRule>
  </conditionalFormatting>
  <conditionalFormatting sqref="L58">
    <cfRule type="cellIs" dxfId="515" priority="143" operator="equal">
      <formula>"NO"</formula>
    </cfRule>
    <cfRule type="cellIs" dxfId="514" priority="144" operator="equal">
      <formula>"SI"</formula>
    </cfRule>
  </conditionalFormatting>
  <conditionalFormatting sqref="L43">
    <cfRule type="cellIs" dxfId="513" priority="141" operator="equal">
      <formula>"NO"</formula>
    </cfRule>
    <cfRule type="cellIs" dxfId="512" priority="142" operator="equal">
      <formula>"SI"</formula>
    </cfRule>
  </conditionalFormatting>
  <conditionalFormatting sqref="L22">
    <cfRule type="cellIs" dxfId="511" priority="133" operator="equal">
      <formula>"NO"</formula>
    </cfRule>
    <cfRule type="cellIs" dxfId="510" priority="134" operator="equal">
      <formula>"SI"</formula>
    </cfRule>
  </conditionalFormatting>
  <conditionalFormatting sqref="L85">
    <cfRule type="cellIs" dxfId="509" priority="135" operator="equal">
      <formula>"NO"</formula>
    </cfRule>
    <cfRule type="cellIs" dxfId="508" priority="136" operator="equal">
      <formula>"SI"</formula>
    </cfRule>
  </conditionalFormatting>
  <conditionalFormatting sqref="L32">
    <cfRule type="cellIs" dxfId="507" priority="139" operator="equal">
      <formula>"NO"</formula>
    </cfRule>
    <cfRule type="cellIs" dxfId="506" priority="140" operator="equal">
      <formula>"SI"</formula>
    </cfRule>
  </conditionalFormatting>
  <conditionalFormatting sqref="L10">
    <cfRule type="cellIs" dxfId="505" priority="137" operator="equal">
      <formula>"NO"</formula>
    </cfRule>
    <cfRule type="cellIs" dxfId="504" priority="138" operator="equal">
      <formula>"SI"</formula>
    </cfRule>
  </conditionalFormatting>
  <conditionalFormatting sqref="L71">
    <cfRule type="cellIs" dxfId="503" priority="131" operator="equal">
      <formula>"NO"</formula>
    </cfRule>
    <cfRule type="cellIs" dxfId="502" priority="132" operator="equal">
      <formula>"SI"</formula>
    </cfRule>
  </conditionalFormatting>
  <conditionalFormatting sqref="L63">
    <cfRule type="cellIs" dxfId="501" priority="129" operator="equal">
      <formula>"NO"</formula>
    </cfRule>
    <cfRule type="cellIs" dxfId="500" priority="130" operator="equal">
      <formula>"SI"</formula>
    </cfRule>
  </conditionalFormatting>
  <conditionalFormatting sqref="L50">
    <cfRule type="cellIs" dxfId="499" priority="127" operator="equal">
      <formula>"NO"</formula>
    </cfRule>
    <cfRule type="cellIs" dxfId="498" priority="128" operator="equal">
      <formula>"SI"</formula>
    </cfRule>
  </conditionalFormatting>
  <conditionalFormatting sqref="N13 N5 N33 N79 N81 N39:N40 N48 N65 N53:N54 N67 N62 N72 N77 N75">
    <cfRule type="cellIs" dxfId="497" priority="126" operator="equal">
      <formula>"0/01/1900"</formula>
    </cfRule>
  </conditionalFormatting>
  <conditionalFormatting sqref="L6">
    <cfRule type="cellIs" dxfId="496" priority="124" operator="equal">
      <formula>"NO"</formula>
    </cfRule>
    <cfRule type="cellIs" dxfId="495" priority="125" operator="equal">
      <formula>"SI"</formula>
    </cfRule>
  </conditionalFormatting>
  <conditionalFormatting sqref="N6">
    <cfRule type="cellIs" dxfId="494" priority="123" operator="equal">
      <formula>"0/01/1900"</formula>
    </cfRule>
  </conditionalFormatting>
  <conditionalFormatting sqref="L29">
    <cfRule type="cellIs" dxfId="493" priority="121" operator="equal">
      <formula>"NO"</formula>
    </cfRule>
    <cfRule type="cellIs" dxfId="492" priority="122" operator="equal">
      <formula>"SI"</formula>
    </cfRule>
  </conditionalFormatting>
  <conditionalFormatting sqref="N29">
    <cfRule type="cellIs" dxfId="491" priority="120" operator="equal">
      <formula>"0/01/1900"</formula>
    </cfRule>
  </conditionalFormatting>
  <conditionalFormatting sqref="L18">
    <cfRule type="cellIs" dxfId="490" priority="118" operator="equal">
      <formula>"NO"</formula>
    </cfRule>
    <cfRule type="cellIs" dxfId="489" priority="119" operator="equal">
      <formula>"SI"</formula>
    </cfRule>
  </conditionalFormatting>
  <conditionalFormatting sqref="L23">
    <cfRule type="cellIs" dxfId="488" priority="116" operator="equal">
      <formula>"NO"</formula>
    </cfRule>
    <cfRule type="cellIs" dxfId="487" priority="117" operator="equal">
      <formula>"SI"</formula>
    </cfRule>
  </conditionalFormatting>
  <conditionalFormatting sqref="L31">
    <cfRule type="cellIs" dxfId="486" priority="114" operator="equal">
      <formula>"NO"</formula>
    </cfRule>
    <cfRule type="cellIs" dxfId="485" priority="115" operator="equal">
      <formula>"SI"</formula>
    </cfRule>
  </conditionalFormatting>
  <conditionalFormatting sqref="L42">
    <cfRule type="cellIs" dxfId="484" priority="112" operator="equal">
      <formula>"NO"</formula>
    </cfRule>
    <cfRule type="cellIs" dxfId="483" priority="113" operator="equal">
      <formula>"SI"</formula>
    </cfRule>
  </conditionalFormatting>
  <conditionalFormatting sqref="L46">
    <cfRule type="cellIs" dxfId="482" priority="110" operator="equal">
      <formula>"NO"</formula>
    </cfRule>
    <cfRule type="cellIs" dxfId="481" priority="111" operator="equal">
      <formula>"SI"</formula>
    </cfRule>
  </conditionalFormatting>
  <conditionalFormatting sqref="L30">
    <cfRule type="cellIs" dxfId="480" priority="108" operator="equal">
      <formula>"NO"</formula>
    </cfRule>
    <cfRule type="cellIs" dxfId="479" priority="109" operator="equal">
      <formula>"SI"</formula>
    </cfRule>
  </conditionalFormatting>
  <conditionalFormatting sqref="L25">
    <cfRule type="cellIs" dxfId="478" priority="106" operator="equal">
      <formula>"NO"</formula>
    </cfRule>
    <cfRule type="cellIs" dxfId="477" priority="107" operator="equal">
      <formula>"SI"</formula>
    </cfRule>
  </conditionalFormatting>
  <conditionalFormatting sqref="L44">
    <cfRule type="cellIs" dxfId="476" priority="104" operator="equal">
      <formula>"NO"</formula>
    </cfRule>
    <cfRule type="cellIs" dxfId="475" priority="105" operator="equal">
      <formula>"SI"</formula>
    </cfRule>
  </conditionalFormatting>
  <conditionalFormatting sqref="N5:N18 N46 N65 N75 N71:N72 N85:N215 N21:N23 N38:N40 N42:N44 N48 N50 N58 N62:N63 N29:N33 N67 N25 N52:N54 N81 N77 N79">
    <cfRule type="cellIs" dxfId="474" priority="103" operator="equal">
      <formula>0</formula>
    </cfRule>
  </conditionalFormatting>
  <conditionalFormatting sqref="L69">
    <cfRule type="cellIs" dxfId="473" priority="101" operator="equal">
      <formula>"NO"</formula>
    </cfRule>
    <cfRule type="cellIs" dxfId="472" priority="102" operator="equal">
      <formula>"SI"</formula>
    </cfRule>
  </conditionalFormatting>
  <conditionalFormatting sqref="N69">
    <cfRule type="cellIs" dxfId="471" priority="100" operator="equal">
      <formula>0</formula>
    </cfRule>
  </conditionalFormatting>
  <conditionalFormatting sqref="L73">
    <cfRule type="cellIs" dxfId="470" priority="98" operator="equal">
      <formula>"NO"</formula>
    </cfRule>
    <cfRule type="cellIs" dxfId="469" priority="99" operator="equal">
      <formula>"SI"</formula>
    </cfRule>
  </conditionalFormatting>
  <conditionalFormatting sqref="N73">
    <cfRule type="cellIs" dxfId="468" priority="97" operator="equal">
      <formula>0</formula>
    </cfRule>
  </conditionalFormatting>
  <conditionalFormatting sqref="L74">
    <cfRule type="cellIs" dxfId="467" priority="95" operator="equal">
      <formula>"NO"</formula>
    </cfRule>
    <cfRule type="cellIs" dxfId="466" priority="96" operator="equal">
      <formula>"SI"</formula>
    </cfRule>
  </conditionalFormatting>
  <conditionalFormatting sqref="N74">
    <cfRule type="cellIs" dxfId="465" priority="94" operator="equal">
      <formula>0</formula>
    </cfRule>
  </conditionalFormatting>
  <conditionalFormatting sqref="L82">
    <cfRule type="cellIs" dxfId="464" priority="92" operator="equal">
      <formula>"NO"</formula>
    </cfRule>
    <cfRule type="cellIs" dxfId="463" priority="93" operator="equal">
      <formula>"SI"</formula>
    </cfRule>
  </conditionalFormatting>
  <conditionalFormatting sqref="N82">
    <cfRule type="cellIs" dxfId="462" priority="91" operator="equal">
      <formula>0</formula>
    </cfRule>
  </conditionalFormatting>
  <conditionalFormatting sqref="L55">
    <cfRule type="cellIs" dxfId="461" priority="89" operator="equal">
      <formula>"NO"</formula>
    </cfRule>
    <cfRule type="cellIs" dxfId="460" priority="90" operator="equal">
      <formula>"SI"</formula>
    </cfRule>
  </conditionalFormatting>
  <conditionalFormatting sqref="N55">
    <cfRule type="cellIs" dxfId="459" priority="88" operator="equal">
      <formula>0</formula>
    </cfRule>
  </conditionalFormatting>
  <conditionalFormatting sqref="L64">
    <cfRule type="cellIs" dxfId="458" priority="86" operator="equal">
      <formula>"NO"</formula>
    </cfRule>
    <cfRule type="cellIs" dxfId="457" priority="87" operator="equal">
      <formula>"SI"</formula>
    </cfRule>
  </conditionalFormatting>
  <conditionalFormatting sqref="N64">
    <cfRule type="cellIs" dxfId="456" priority="85" operator="equal">
      <formula>0</formula>
    </cfRule>
  </conditionalFormatting>
  <conditionalFormatting sqref="L45">
    <cfRule type="cellIs" dxfId="455" priority="83" operator="equal">
      <formula>"NO"</formula>
    </cfRule>
    <cfRule type="cellIs" dxfId="454" priority="84" operator="equal">
      <formula>"SI"</formula>
    </cfRule>
  </conditionalFormatting>
  <conditionalFormatting sqref="N45">
    <cfRule type="cellIs" dxfId="453" priority="82" operator="equal">
      <formula>0</formula>
    </cfRule>
  </conditionalFormatting>
  <conditionalFormatting sqref="L35">
    <cfRule type="cellIs" dxfId="452" priority="80" operator="equal">
      <formula>"NO"</formula>
    </cfRule>
    <cfRule type="cellIs" dxfId="451" priority="81" operator="equal">
      <formula>"SI"</formula>
    </cfRule>
  </conditionalFormatting>
  <conditionalFormatting sqref="N35">
    <cfRule type="cellIs" dxfId="450" priority="79" operator="equal">
      <formula>0</formula>
    </cfRule>
  </conditionalFormatting>
  <conditionalFormatting sqref="L19">
    <cfRule type="cellIs" dxfId="449" priority="77" operator="equal">
      <formula>"NO"</formula>
    </cfRule>
    <cfRule type="cellIs" dxfId="448" priority="78" operator="equal">
      <formula>"SI"</formula>
    </cfRule>
  </conditionalFormatting>
  <conditionalFormatting sqref="N19">
    <cfRule type="cellIs" dxfId="447" priority="76" operator="equal">
      <formula>0</formula>
    </cfRule>
  </conditionalFormatting>
  <conditionalFormatting sqref="L20">
    <cfRule type="cellIs" dxfId="446" priority="74" operator="equal">
      <formula>"NO"</formula>
    </cfRule>
    <cfRule type="cellIs" dxfId="445" priority="75" operator="equal">
      <formula>"SI"</formula>
    </cfRule>
  </conditionalFormatting>
  <conditionalFormatting sqref="N20">
    <cfRule type="cellIs" dxfId="444" priority="73" operator="equal">
      <formula>0</formula>
    </cfRule>
  </conditionalFormatting>
  <conditionalFormatting sqref="L37">
    <cfRule type="cellIs" dxfId="443" priority="71" operator="equal">
      <formula>"NO"</formula>
    </cfRule>
    <cfRule type="cellIs" dxfId="442" priority="72" operator="equal">
      <formula>"SI"</formula>
    </cfRule>
  </conditionalFormatting>
  <conditionalFormatting sqref="N37">
    <cfRule type="cellIs" dxfId="441" priority="70" operator="equal">
      <formula>0</formula>
    </cfRule>
  </conditionalFormatting>
  <conditionalFormatting sqref="L41">
    <cfRule type="cellIs" dxfId="440" priority="68" operator="equal">
      <formula>"NO"</formula>
    </cfRule>
    <cfRule type="cellIs" dxfId="439" priority="69" operator="equal">
      <formula>"SI"</formula>
    </cfRule>
  </conditionalFormatting>
  <conditionalFormatting sqref="N41">
    <cfRule type="cellIs" dxfId="438" priority="67" operator="equal">
      <formula>0</formula>
    </cfRule>
  </conditionalFormatting>
  <conditionalFormatting sqref="L47">
    <cfRule type="cellIs" dxfId="437" priority="65" operator="equal">
      <formula>"NO"</formula>
    </cfRule>
    <cfRule type="cellIs" dxfId="436" priority="66" operator="equal">
      <formula>"SI"</formula>
    </cfRule>
  </conditionalFormatting>
  <conditionalFormatting sqref="N47">
    <cfRule type="cellIs" dxfId="435" priority="64" operator="equal">
      <formula>0</formula>
    </cfRule>
  </conditionalFormatting>
  <conditionalFormatting sqref="L49">
    <cfRule type="cellIs" dxfId="434" priority="62" operator="equal">
      <formula>"NO"</formula>
    </cfRule>
    <cfRule type="cellIs" dxfId="433" priority="63" operator="equal">
      <formula>"SI"</formula>
    </cfRule>
  </conditionalFormatting>
  <conditionalFormatting sqref="N49">
    <cfRule type="cellIs" dxfId="432" priority="61" operator="equal">
      <formula>0</formula>
    </cfRule>
  </conditionalFormatting>
  <conditionalFormatting sqref="L57">
    <cfRule type="cellIs" dxfId="431" priority="59" operator="equal">
      <formula>"NO"</formula>
    </cfRule>
    <cfRule type="cellIs" dxfId="430" priority="60" operator="equal">
      <formula>"SI"</formula>
    </cfRule>
  </conditionalFormatting>
  <conditionalFormatting sqref="N57">
    <cfRule type="cellIs" dxfId="429" priority="58" operator="equal">
      <formula>0</formula>
    </cfRule>
  </conditionalFormatting>
  <conditionalFormatting sqref="L59">
    <cfRule type="cellIs" dxfId="428" priority="56" operator="equal">
      <formula>"NO"</formula>
    </cfRule>
    <cfRule type="cellIs" dxfId="427" priority="57" operator="equal">
      <formula>"SI"</formula>
    </cfRule>
  </conditionalFormatting>
  <conditionalFormatting sqref="N59">
    <cfRule type="cellIs" dxfId="426" priority="55" operator="equal">
      <formula>0</formula>
    </cfRule>
  </conditionalFormatting>
  <conditionalFormatting sqref="L60">
    <cfRule type="cellIs" dxfId="425" priority="53" operator="equal">
      <formula>"NO"</formula>
    </cfRule>
    <cfRule type="cellIs" dxfId="424" priority="54" operator="equal">
      <formula>"SI"</formula>
    </cfRule>
  </conditionalFormatting>
  <conditionalFormatting sqref="N60">
    <cfRule type="cellIs" dxfId="423" priority="52" operator="equal">
      <formula>0</formula>
    </cfRule>
  </conditionalFormatting>
  <conditionalFormatting sqref="L61">
    <cfRule type="cellIs" dxfId="422" priority="50" operator="equal">
      <formula>"NO"</formula>
    </cfRule>
    <cfRule type="cellIs" dxfId="421" priority="51" operator="equal">
      <formula>"SI"</formula>
    </cfRule>
  </conditionalFormatting>
  <conditionalFormatting sqref="N61">
    <cfRule type="cellIs" dxfId="420" priority="49" operator="equal">
      <formula>0</formula>
    </cfRule>
  </conditionalFormatting>
  <conditionalFormatting sqref="L83">
    <cfRule type="cellIs" dxfId="419" priority="47" operator="equal">
      <formula>"NO"</formula>
    </cfRule>
    <cfRule type="cellIs" dxfId="418" priority="48" operator="equal">
      <formula>"SI"</formula>
    </cfRule>
  </conditionalFormatting>
  <conditionalFormatting sqref="N83">
    <cfRule type="cellIs" dxfId="417" priority="46" operator="equal">
      <formula>0</formula>
    </cfRule>
  </conditionalFormatting>
  <conditionalFormatting sqref="L26">
    <cfRule type="cellIs" dxfId="416" priority="44" operator="equal">
      <formula>"NO"</formula>
    </cfRule>
    <cfRule type="cellIs" dxfId="415" priority="45" operator="equal">
      <formula>"SI"</formula>
    </cfRule>
  </conditionalFormatting>
  <conditionalFormatting sqref="N26">
    <cfRule type="cellIs" dxfId="414" priority="43" operator="equal">
      <formula>0</formula>
    </cfRule>
  </conditionalFormatting>
  <conditionalFormatting sqref="L66">
    <cfRule type="cellIs" dxfId="413" priority="41" operator="equal">
      <formula>"NO"</formula>
    </cfRule>
    <cfRule type="cellIs" dxfId="412" priority="42" operator="equal">
      <formula>"SI"</formula>
    </cfRule>
  </conditionalFormatting>
  <conditionalFormatting sqref="N66">
    <cfRule type="cellIs" dxfId="411" priority="40" operator="equal">
      <formula>0</formula>
    </cfRule>
  </conditionalFormatting>
  <conditionalFormatting sqref="L68">
    <cfRule type="cellIs" dxfId="410" priority="38" operator="equal">
      <formula>"NO"</formula>
    </cfRule>
    <cfRule type="cellIs" dxfId="409" priority="39" operator="equal">
      <formula>"SI"</formula>
    </cfRule>
  </conditionalFormatting>
  <conditionalFormatting sqref="N68">
    <cfRule type="cellIs" dxfId="408" priority="37" operator="equal">
      <formula>0</formula>
    </cfRule>
  </conditionalFormatting>
  <conditionalFormatting sqref="L24">
    <cfRule type="cellIs" dxfId="407" priority="35" operator="equal">
      <formula>"NO"</formula>
    </cfRule>
    <cfRule type="cellIs" dxfId="406" priority="36" operator="equal">
      <formula>"SI"</formula>
    </cfRule>
  </conditionalFormatting>
  <conditionalFormatting sqref="N24">
    <cfRule type="cellIs" dxfId="405" priority="34" operator="equal">
      <formula>0</formula>
    </cfRule>
  </conditionalFormatting>
  <conditionalFormatting sqref="L34">
    <cfRule type="cellIs" dxfId="404" priority="32" operator="equal">
      <formula>"NO"</formula>
    </cfRule>
    <cfRule type="cellIs" dxfId="403" priority="33" operator="equal">
      <formula>"SI"</formula>
    </cfRule>
  </conditionalFormatting>
  <conditionalFormatting sqref="N34">
    <cfRule type="cellIs" dxfId="402" priority="31" operator="equal">
      <formula>0</formula>
    </cfRule>
  </conditionalFormatting>
  <conditionalFormatting sqref="L51">
    <cfRule type="cellIs" dxfId="401" priority="29" operator="equal">
      <formula>"NO"</formula>
    </cfRule>
    <cfRule type="cellIs" dxfId="400" priority="30" operator="equal">
      <formula>"SI"</formula>
    </cfRule>
  </conditionalFormatting>
  <conditionalFormatting sqref="N51">
    <cfRule type="cellIs" dxfId="399" priority="28" operator="equal">
      <formula>0</formula>
    </cfRule>
  </conditionalFormatting>
  <conditionalFormatting sqref="L80">
    <cfRule type="cellIs" dxfId="398" priority="26" operator="equal">
      <formula>"NO"</formula>
    </cfRule>
    <cfRule type="cellIs" dxfId="397" priority="27" operator="equal">
      <formula>"SI"</formula>
    </cfRule>
  </conditionalFormatting>
  <conditionalFormatting sqref="N80">
    <cfRule type="cellIs" dxfId="396" priority="25" operator="equal">
      <formula>0</formula>
    </cfRule>
  </conditionalFormatting>
  <conditionalFormatting sqref="L27">
    <cfRule type="cellIs" dxfId="395" priority="23" operator="equal">
      <formula>"NO"</formula>
    </cfRule>
    <cfRule type="cellIs" dxfId="394" priority="24" operator="equal">
      <formula>"SI"</formula>
    </cfRule>
  </conditionalFormatting>
  <conditionalFormatting sqref="N27">
    <cfRule type="cellIs" dxfId="393" priority="22" operator="equal">
      <formula>0</formula>
    </cfRule>
  </conditionalFormatting>
  <conditionalFormatting sqref="L28">
    <cfRule type="cellIs" dxfId="392" priority="20" operator="equal">
      <formula>"NO"</formula>
    </cfRule>
    <cfRule type="cellIs" dxfId="391" priority="21" operator="equal">
      <formula>"SI"</formula>
    </cfRule>
  </conditionalFormatting>
  <conditionalFormatting sqref="N28">
    <cfRule type="cellIs" dxfId="390" priority="19" operator="equal">
      <formula>0</formula>
    </cfRule>
  </conditionalFormatting>
  <conditionalFormatting sqref="L36">
    <cfRule type="cellIs" dxfId="389" priority="17" operator="equal">
      <formula>"NO"</formula>
    </cfRule>
    <cfRule type="cellIs" dxfId="388" priority="18" operator="equal">
      <formula>"SI"</formula>
    </cfRule>
  </conditionalFormatting>
  <conditionalFormatting sqref="N36">
    <cfRule type="cellIs" dxfId="387" priority="16" operator="equal">
      <formula>0</formula>
    </cfRule>
  </conditionalFormatting>
  <conditionalFormatting sqref="L56">
    <cfRule type="cellIs" dxfId="386" priority="14" operator="equal">
      <formula>"NO"</formula>
    </cfRule>
    <cfRule type="cellIs" dxfId="385" priority="15" operator="equal">
      <formula>"SI"</formula>
    </cfRule>
  </conditionalFormatting>
  <conditionalFormatting sqref="N56">
    <cfRule type="cellIs" dxfId="384" priority="13" operator="equal">
      <formula>0</formula>
    </cfRule>
  </conditionalFormatting>
  <conditionalFormatting sqref="L70">
    <cfRule type="cellIs" dxfId="383" priority="11" operator="equal">
      <formula>"NO"</formula>
    </cfRule>
    <cfRule type="cellIs" dxfId="382" priority="12" operator="equal">
      <formula>"SI"</formula>
    </cfRule>
  </conditionalFormatting>
  <conditionalFormatting sqref="N70">
    <cfRule type="cellIs" dxfId="381" priority="10" operator="equal">
      <formula>0</formula>
    </cfRule>
  </conditionalFormatting>
  <conditionalFormatting sqref="L76">
    <cfRule type="cellIs" dxfId="380" priority="8" operator="equal">
      <formula>"NO"</formula>
    </cfRule>
    <cfRule type="cellIs" dxfId="379" priority="9" operator="equal">
      <formula>"SI"</formula>
    </cfRule>
  </conditionalFormatting>
  <conditionalFormatting sqref="N76">
    <cfRule type="cellIs" dxfId="378" priority="7" operator="equal">
      <formula>0</formula>
    </cfRule>
  </conditionalFormatting>
  <conditionalFormatting sqref="L84">
    <cfRule type="cellIs" dxfId="377" priority="5" operator="equal">
      <formula>"NO"</formula>
    </cfRule>
    <cfRule type="cellIs" dxfId="376" priority="6" operator="equal">
      <formula>"SI"</formula>
    </cfRule>
  </conditionalFormatting>
  <conditionalFormatting sqref="N84">
    <cfRule type="cellIs" dxfId="375" priority="4" operator="equal">
      <formula>0</formula>
    </cfRule>
  </conditionalFormatting>
  <conditionalFormatting sqref="L78">
    <cfRule type="cellIs" dxfId="374" priority="2" operator="equal">
      <formula>"NO"</formula>
    </cfRule>
    <cfRule type="cellIs" dxfId="373" priority="3" operator="equal">
      <formula>"SI"</formula>
    </cfRule>
  </conditionalFormatting>
  <conditionalFormatting sqref="N78">
    <cfRule type="cellIs" dxfId="372" priority="1" operator="equal">
      <formula>0</formula>
    </cfRule>
  </conditionalFormatting>
  <dataValidations count="1">
    <dataValidation type="list" allowBlank="1" showInputMessage="1" showErrorMessage="1" sqref="B5:B215">
      <formula1>"2019,2020,2021,2022,2023"</formula1>
    </dataValidation>
  </dataValidations>
  <hyperlinks>
    <hyperlink ref="I13" r:id="rId1" display="PROCESO GESTIÓN FINANCIERA\INFORME GESTIÓN FINANCIERA 2019 - 11122019.pdf"/>
    <hyperlink ref="I5" r:id="rId2" display="PROCESO GESTIÓN FINANCIERA\INFORME CAJAS MENORES 2019 - 20022019.pdf"/>
    <hyperlink ref="I33" r:id="rId3" display="PROCESO GESTIÓN FINANCIERA\INFORME GESTIÓN FINANCIERA 2020 - 22122020.pdf"/>
    <hyperlink ref="I39" r:id="rId4" display="PROCESO GESTIÓN FINANCIERA\INFORME CUADRE DE CAJA 2021-1 - 11062021.pdf"/>
    <hyperlink ref="I48" r:id="rId5" display="PROCESO GESTIÓN FINANCIERA\INFORME CUADRE DE CAJA 2021-2 - 29102021.pdf"/>
    <hyperlink ref="I40" r:id="rId6" display="PROCESO GESTIÓN FINANCIERA\INFORME FACTURACIÓN, CARTERA, GLOSAS 2021 - 30062021.pdf"/>
    <hyperlink ref="I54" r:id="rId7" display="PROCESO GESTIÓN FINANCIERA\INFORME CUADRE DE CAJA 2022-1 - 25012022.pdf"/>
    <hyperlink ref="I65" r:id="rId8" display="PROCESO GESTIÓN FINANCIERA\INFORME CUADRE DE CAJA 2022-2 - 03112022.pdf"/>
    <hyperlink ref="I62" r:id="rId9" display="PROCESO GESTIÓN FINANCIERA\INFORME CAJAS MENORES 2022- 20092022.pdf"/>
    <hyperlink ref="I67" r:id="rId10" display="PROCESO GESTIÓN FINANCIERA\INFORME CUADRE DE CAJA 2023-1 - 27022023.pdf"/>
    <hyperlink ref="I77" r:id="rId11" display="PROCESO GESTIÓN FINANCIERA\INFORME CUADRE DE CAJA 2023-2 - 19072023.pdf"/>
    <hyperlink ref="I75" r:id="rId12" display="PROCESO GESTIÓN FINANCIERA\INFORME CAJAS MENORES 2023 - 12072023.pdf"/>
    <hyperlink ref="I79" r:id="rId13" display="PROCESO GESTIÓN FINANCIERA\INFORME FACTURACIÓN, CARTERA, GLOSAS 2023 - 29082023.pdf"/>
    <hyperlink ref="I53" r:id="rId14" display="PROCESO GESTIÓN FINANCIERA\INFORME GESTIÓN FINANCIERA 2021 - 09022022.pdf"/>
    <hyperlink ref="I7" r:id="rId15" display="PROCESO GESTIÓN VENTA DE SERVICIOS\INFORME GESTIÓN VENTA DE SERVICIOS 2019 - 05082019.pdf"/>
    <hyperlink ref="I27" r:id="rId16" display="PROCESO GESTIÓN VENTA DE SERVICIOS\INFORME GESTIÓN VENTA DE SERVICIOS 2020 - 20102020.pdf"/>
    <hyperlink ref="I70" r:id="rId17" display="PROCESO GESTIÓN VENTA DE SERVICIOS\INFORME GESTIÓN VENTA DE SERVICIOS 2023 - 28032023.pdf"/>
    <hyperlink ref="I15" r:id="rId18" display="PROCESO GESTIÓN DOCUMENTAL\INFORME GESTIÓN DOCUMENTAL 2019 - 12122019.pdf"/>
    <hyperlink ref="I11" r:id="rId19" display="PROCESO GESTIÓN JURÍDICA\INFORME GESTIÓN JURÍDICA 2019 - 22112019.pdf"/>
    <hyperlink ref="I6" r:id="rId20" display="PROCESO ATENCIÓN QUIRÚRGICA\INFORME ATENCION QUIRURGICA 2019 - 28052019 .pdf"/>
    <hyperlink ref="I8" r:id="rId21" display="PROCESO ATENCIÓN EN URGENCIAS\INFORME ATENCION EN URGENCIAS 2019 - 15082019.pdf"/>
    <hyperlink ref="I9" r:id="rId22" display="PROCESO ATENCIÓN EN HOSPITALIZACIÓN\INFORME ATENCIÓN EN HOSPITALIZACIÓN 2019 - 19092019.pdf"/>
    <hyperlink ref="I10" r:id="rId23" display="PROCESO GESTIÓN SERVICIO FARMACÉUTICO\INFORME GESTIÓN SERVICIO FARMACÉUTICO 2019 - 24102019.pdf"/>
    <hyperlink ref="I12" r:id="rId24" display="PROCESO ATENCIÓN EN LABORATORIO CLÍNICO\INFORME ATENCIÓN EN LABORATORIO CLÍNICO 2019 - 02122019.pdf"/>
    <hyperlink ref="I16" r:id="rId25" display="PROCESO ATENCIÓN AMBULATORIA\INFORME ATENCIÓN AMBULATORIA 2019 - 19122019.pdf"/>
    <hyperlink ref="I17" r:id="rId26" display="PROCESO ATENCIÓN EN P Y P\INFORME ATENCIÓN EN PROMOCIÓN Y PREVENCIÓN 2019 - 19122019.pdf"/>
    <hyperlink ref="I14" r:id="rId27" display="PROCESO GESTIÓN LOGÍSTICA\INFORME CONTROL DE INVENTARIO 2019 - 12122019.pdf"/>
    <hyperlink ref="I45" r:id="rId28" display="PROCESO GESTIÓN DOCUMENTAL\INFORME MANEJO DE ARCHIVO CLÍNICO 2021 - 17092021.pdf"/>
    <hyperlink ref="I19" r:id="rId29" display="PROCESO GESTIÓN LOGÍSTICA\INFORME CONTROL DE INVENTARIO DE BIENES 2020 - 20052020.pdf"/>
    <hyperlink ref="I18" r:id="rId30" display="PROCESO ATENCIÓN EN URGENCIAS\INFORME ATENCION EN URGENCIAS 2020 - 06042020.pdf"/>
    <hyperlink ref="I22" r:id="rId31" display="PROCESO GESTIÓN TALENTO HUMANO\INFORME PAGO DE NÓMINA CONDUCTORES AMBULANCIA 2020 - 27072020.pdf"/>
    <hyperlink ref="I21" r:id="rId32" display="PROCESO ATENCIÓN EN IMÁGENES DIAGNÓSTICAS\INFORME ATENCIÓN EN IMÁGENES DIAGNÓST 2020 - 16072020.pdf"/>
    <hyperlink ref="I23" r:id="rId33" display="PROCESO ATENCIÓN EN HOSPITALIZACIÓN\INFORME CONSENTIMIENTO INFORMADO 2020 - 07092020.pdf"/>
    <hyperlink ref="I30" r:id="rId34" display="PROCESO ATENCIÓN EN LABORATORIO CLÍNICO\INFORME ATENCIÓN EN LABORATORIO CLÍNICO 2020 - 06112020.pdf"/>
    <hyperlink ref="I25" r:id="rId35" display="PROCESO ATENCIÓN EN P Y P\INFORME ATENCIÓN EN PROMOCIÓN Y PREVENCIÓN 2020 - 24092020.pdf"/>
    <hyperlink ref="I26" r:id="rId36" display="PROCESO GESTIÓN SERVICIO FARMACÉUTICO\INFORME GESTIÓN SERVICIO FARMACÉUTICO 2020 - 20102020.pdf"/>
    <hyperlink ref="I29" r:id="rId37" display="PROCESO ATENCIÓN QUIRÚRGICA\INFORME ATENCION QUIRURGICA 2020 - 29102020.pdf"/>
    <hyperlink ref="I24" r:id="rId38" display="PROCESO GESTIÓN TALENTO HUMANO\INFORME GESTIÓN TALENTO HUMANO PROGRAMA DE VIVIENDA 2020 - 11092020.pdf"/>
    <hyperlink ref="I32" r:id="rId39" display="PROCESO GESTIÓN DOCENCIA SERVICIO\INFORME GESTIÓN DOCENCIA SERVICIO 2020 - 30112020.pdf"/>
    <hyperlink ref="I31" r:id="rId40" display="PROCESO ATENCIÓN EN HOSPITALIZACIÓN\INFORME ATENCIÓN EN HOSPITALIZACIÓN 2020 - 26112020.pdf"/>
    <hyperlink ref="I34" r:id="rId41" display="PROCESO GESTIÓN TALENTO HUMANO\INFORME GESTIÓN CUADRO DE TURNOS 2021 - 12032021.pdf"/>
    <hyperlink ref="I35" r:id="rId42" display="PROCESO GESTIÓN JURÍDICA\INFORME GESTION JURIDICA 2021 - 06042021.pdf"/>
    <hyperlink ref="I37" r:id="rId43" display="PROCESO GESTIÓN LOGÍSTICA\INFORME CONTROL DE INVENTARIO - LEGALIZACIÓN DONACIONES 2021 - 26052021.pdf"/>
    <hyperlink ref="I42" r:id="rId44" display="PROCESO ATENCIÓN EN HOSPITALIZACIÓN\INFORME ATENCIÓN EN HOSPITALIZACIÓN 2021 - 12082021.pdf"/>
    <hyperlink ref="I44" r:id="rId45" display="PROCESO ATENCIÓN EN P Y P\INFORME CICLO DE ATENCIÓN MATERNO PERINATAL 2021 - 06092021.pdf"/>
    <hyperlink ref="I41" r:id="rId46" display="PROCESO GESTIÓN LOGÍSTICA\INFORME SEGURIDAD HOSPITALARIA SERVICIOS DE URGENCIAS 2021 - 03082021.pdf"/>
    <hyperlink ref="I47" r:id="rId47" display="PROCESO GESTIÓN LOGÍSTICA\INFORME MANTENIMIENTO DE BIENES - EQUIPOS BIOMEDICOS 2021 - 21102021.pdf"/>
    <hyperlink ref="I50" r:id="rId48" display="SIN PROCESO - REFERENCIA Y CONTRARREFERENCIA\INFORME REFERENCIA Y CONTRARREFERENCIA 2021 - 03112021 .pdf"/>
    <hyperlink ref="I46" r:id="rId49" display="PROCESO ATENCIÓN EN HOSPITALIZACIÓN\INFORME GESTIÓN DE CAMAS 2021 - 05102021.pdf"/>
    <hyperlink ref="I49" r:id="rId50" display="PROCESO GESTIÓN LOGÍSTICA\INFORME CONTROL DE INVENTARIO 2021 - 30102021.pdf"/>
    <hyperlink ref="I51" r:id="rId51" display="PROCESO GESTIÓN TALENTO HUMANO\INFORME GESTIÓN TALENTO HUMANO 2021 - 09112021.pdf"/>
    <hyperlink ref="I57" r:id="rId52" display="PROCESO GESTIÓN LOGÍSTICA\INFORME MANTENIMIENTO DE BIENES - EQUIPOS BIOMÉDICOS 2022 - 28032022.pdf"/>
    <hyperlink ref="I66" r:id="rId53" display="PROCESO GESTIÓN SERVICIO FARMACÉUTICO\INFORME GESTION MEDICAMENTOS CONTROL ESPECIAL 2022 - 25112022.pdf"/>
    <hyperlink ref="I68" r:id="rId54" display="PROCESO GESTIÓN SERVICIO FARMACÉUTICO\INFORME GESTIÓN SERVICIO FARMACÉUTICO 2023 - 07032023.pdf"/>
    <hyperlink ref="I71" r:id="rId55" display="SIN PROCESO - AUDITORÍAS INTEGRALES\INFORME AUDITORIA INTEGRAL UPSS 1 SEGUIMIENTO PLAN SUPERSALUD 2023 - 25042023 ANEXO.pdf"/>
    <hyperlink ref="I72" r:id="rId56" display="PROCESO GESTIÓN FINANCIERA\INFORME GESTIÓN FINANCIERA TESORERIA 2023 - 03052023.pdf"/>
    <hyperlink ref="I76" r:id="rId57" display="SIN PROCESO - AUDITORÍAS INTEGRALES\INFORME AUDITORÍA INTEGRAL UPSS 2 2023- 18072023.pdf"/>
    <hyperlink ref="I78" r:id="rId58" display="SIN PROCESO - REFERENCIA Y CONTRARREFERENCIA\INFORME REFERENCIA Y CONTRARREFERENCIA 2023 - 16082023.pdf"/>
    <hyperlink ref="I80" r:id="rId59" display="PROCESO GESTIÓN TALENTO HUMANO\INFORME GESTIÓN TALENTO HUMANO 2023 - 09102023.pdf"/>
    <hyperlink ref="I20" r:id="rId60" display="PROCESO GESTIÓN LOGÍSTICA\INFORME CONTRATO INTERMEDIACIÓN DE SEGUROS 2020 - 02072020.pdf"/>
    <hyperlink ref="I60" r:id="rId61" display="PROCESO GESTIÓN LOGÍSTICA\INFORME INSTRUCTIVO LEGALIZACIÓN DE DONACIONES 2022 - 16062022 .pdf"/>
    <hyperlink ref="I59" r:id="rId62" display="PROCESO GESTIÓN LOGÍSTICA\INFORME GESTIÓN DE BIENES MUEBLES 2022- 03062022.pdf"/>
    <hyperlink ref="I61" r:id="rId63" display="PROCESO GESTIÓN LOGÍSTICA\INFORME ASEGURAMIENTO DE BIENES MUEBLES 2022 - 10082022.pdf"/>
    <hyperlink ref="I84" r:id="rId64" display="SIN PROCESO - AUDITORÍAS INTEGRALES\INFORME AUDITORÍA INTEGRAL UPSS 3 2023 - NUEVO OCCIDENTE 30102023.pdf"/>
    <hyperlink ref="I73" r:id="rId65" display="PROCESO GESTIÓN DE LA CONTRATACIÓN\INFORME CONTRATACION BIENES Y SERVICIOS 2023-1 - 20062023.pdf"/>
    <hyperlink ref="I74" r:id="rId66" display="PROCESO GESTIÓN DE LA CONTRATACIÓN\INFORME CONTRATACION BIENES Y SERVICIOS 2023-2 - 05072023.pdf"/>
    <hyperlink ref="I82" r:id="rId67" display="PROCESO GESTIÓN DE LA CONTRATACIÓN\INFORME CONTRATACION BIENES Y SERVICIOS 2023-3 - 09112023.pdf"/>
    <hyperlink ref="I43" r:id="rId68" display="PROCESO GESTIÓN DE LA CONTRATACIÓN\INFORME CONTRATACION ADQUISICIÓN DE SERVICIOS 2021 - 06092021.pdf"/>
    <hyperlink ref="I52" r:id="rId69" display="PROCESO GESTIÓN SALUD PÚBLICA Y TERRITORIAL\INFORME LIQUIDACIÓN CONVENIOS INTERADMINISTRATIVOS 2021 - 29122021.pdf"/>
    <hyperlink ref="I55" r:id="rId70" display="PROCESO GESTIÓN SALUD PÚBLICA Y TERRITORIAL\INFORME CONDICIONES ALMACENAMIENTO PROYECTOS SALUD PÚBLICA 2022 - 16032022.pdf"/>
    <hyperlink ref="I64" r:id="rId71" display="PROCESO GESTIÓN SALUD PÚBLICA Y TERRITORIAL\INFORME PROYECTOS SALUD PUBLICA - MAITE 2022 - 06102022.pdf"/>
    <hyperlink ref="I28" r:id="rId72" display="PROCESO GESTIÓN VENTA DE SERVICIOS\INFORME EVALUACIÓN SUPERVISIÓN CONTRATOS 2020 - 20102020.pdf"/>
    <hyperlink ref="I36" r:id="rId73" display="PROCESO GESTIÓN VENTA DE SERVICIOS\INFORME CONTRATACIÓN PRESTACIÓN DE SERVICIOS 2021 - 18052021.pdf"/>
    <hyperlink ref="I56" r:id="rId74" display="PROCESO GESTIÓN VENTA DE SERVICIOS\INFORME SUPERVISIÓN CONTRATOS VIGENCIA 2022 - 17032022.pdf"/>
    <hyperlink ref="I81" r:id="rId75" display="PROCESO GESTIÓN FINANCIERA\INFORME GESTIÓN FINANCIERA PRESUPUESTO 2023 - 26102023.pdf"/>
    <hyperlink ref="I58" r:id="rId76" display="PROCESO DIRECCIONAMIENTO Y PLANEACIÓN\INFORME PAMEC 2022 - 24052022.pdf"/>
    <hyperlink ref="I69" r:id="rId77" display="PROCESO DIRECCIONAMIENTO Y PLANEACIÓN\INFORME TABLERO DE INDICADORES PLAN DE DESARROLLO 2023 - 10032023.pdf"/>
    <hyperlink ref="I38" r:id="rId78" display="PROCESO DESARROLLO DEL SISTEMA DE GESTIÓN\INFORME DESARROLLO SISTEMA DE GESTIÓN 2021 - 04062021.pdf"/>
    <hyperlink ref="I85" r:id="rId79" display="PROCESO GESTIÓN SISTEMA DE INFORMACIÓN\INFORME SEGURIDAD DE LA INFORMACIÓN 2023 - 23112023.pdf"/>
    <hyperlink ref="I63" r:id="rId80" display="SIN PROCESO - COMUNICACIÓN ORGANIZACIONAL\INFORME COMPONENTE COMUNICACIÓN ORGANIZACIONAL 2022 - 06102022.pdf"/>
    <hyperlink ref="I83" r:id="rId81" display="PROCESO GESTIÓN LOGÍSTICA\INFORME CONTROL DE INVENTARIO BIENES MUEBLES 2023 -10112023.pdf"/>
    <hyperlink ref="I86" r:id="rId82" display="PROCESO GESTIÓN FINANCIERA\INFORME CUADRE DE CAJA 2023-3 - 27122023.pdf"/>
  </hyperlinks>
  <pageMargins left="0.7" right="0.7" top="0.75" bottom="0.75" header="0.3" footer="0.3"/>
  <pageSetup orientation="portrait" r:id="rId83"/>
  <extLst>
    <ext xmlns:x14="http://schemas.microsoft.com/office/spreadsheetml/2009/9/main" uri="{CCE6A557-97BC-4b89-ADB6-D9C93CAAB3DF}">
      <x14:dataValidations xmlns:xm="http://schemas.microsoft.com/office/excel/2006/main" count="2">
        <x14:dataValidation type="list" allowBlank="1" showInputMessage="1" showErrorMessage="1">
          <x14:formula1>
            <xm:f>'UNIDADES ADMINISTRATIVAS'!$A$1:$A$15</xm:f>
          </x14:formula1>
          <xm:sqref>G5:G215</xm:sqref>
        </x14:dataValidation>
        <x14:dataValidation type="list" allowBlank="1" showInputMessage="1" showErrorMessage="1">
          <x14:formula1>
            <xm:f>PROCESOS!$A$1:$A$27</xm:f>
          </x14:formula1>
          <xm:sqref>H5:H215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Q11"/>
  <sheetViews>
    <sheetView showGridLines="0" topLeftCell="A7" zoomScale="70" zoomScaleNormal="70" workbookViewId="0">
      <selection activeCell="I45" sqref="I45"/>
    </sheetView>
  </sheetViews>
  <sheetFormatPr baseColWidth="10" defaultColWidth="11.44140625" defaultRowHeight="13.8"/>
  <cols>
    <col min="1" max="1" width="1" style="96" customWidth="1"/>
    <col min="2" max="2" width="17.44140625" style="96" customWidth="1"/>
    <col min="3" max="3" width="18.6640625" style="96" customWidth="1"/>
    <col min="4" max="4" width="20.6640625" style="96" customWidth="1"/>
    <col min="5" max="16" width="16.33203125" style="96" customWidth="1"/>
    <col min="17" max="17" width="15.6640625" style="96" customWidth="1"/>
    <col min="18" max="18" width="18.6640625" style="96" customWidth="1"/>
    <col min="19" max="22" width="20.6640625" style="96" customWidth="1"/>
    <col min="23" max="23" width="22.6640625" style="96" customWidth="1"/>
    <col min="24" max="16384" width="11.44140625" style="96"/>
  </cols>
  <sheetData>
    <row r="2" spans="2:17" ht="20.399999999999999">
      <c r="B2" s="95" t="s">
        <v>352</v>
      </c>
      <c r="C2" s="11"/>
    </row>
    <row r="3" spans="2:17" ht="9" customHeight="1">
      <c r="B3" s="11"/>
      <c r="C3" s="11"/>
    </row>
    <row r="4" spans="2:17" ht="42.75" customHeight="1">
      <c r="B4" s="191" t="s">
        <v>0</v>
      </c>
      <c r="C4" s="191" t="s">
        <v>350</v>
      </c>
      <c r="D4" s="191" t="s">
        <v>312</v>
      </c>
      <c r="E4" s="191" t="s">
        <v>365</v>
      </c>
      <c r="F4" s="191"/>
      <c r="G4" s="191" t="s">
        <v>196</v>
      </c>
      <c r="H4" s="192" t="s">
        <v>363</v>
      </c>
      <c r="I4" s="192"/>
      <c r="J4" s="189" t="s">
        <v>362</v>
      </c>
      <c r="K4" s="189"/>
      <c r="L4" s="190" t="s">
        <v>361</v>
      </c>
      <c r="M4" s="190"/>
      <c r="N4" s="191" t="s">
        <v>372</v>
      </c>
      <c r="O4" s="191" t="s">
        <v>370</v>
      </c>
      <c r="P4" s="191" t="s">
        <v>366</v>
      </c>
      <c r="Q4" s="191"/>
    </row>
    <row r="5" spans="2:17" ht="24.75" customHeight="1">
      <c r="B5" s="191"/>
      <c r="C5" s="191"/>
      <c r="D5" s="191"/>
      <c r="E5" s="142" t="s">
        <v>203</v>
      </c>
      <c r="F5" s="143" t="s">
        <v>364</v>
      </c>
      <c r="G5" s="191"/>
      <c r="H5" s="142" t="s">
        <v>203</v>
      </c>
      <c r="I5" s="143" t="s">
        <v>364</v>
      </c>
      <c r="J5" s="142" t="s">
        <v>203</v>
      </c>
      <c r="K5" s="143" t="s">
        <v>364</v>
      </c>
      <c r="L5" s="142" t="s">
        <v>203</v>
      </c>
      <c r="M5" s="143" t="s">
        <v>364</v>
      </c>
      <c r="N5" s="191"/>
      <c r="O5" s="191"/>
      <c r="P5" s="142" t="s">
        <v>203</v>
      </c>
      <c r="Q5" s="143" t="s">
        <v>364</v>
      </c>
    </row>
    <row r="6" spans="2:17" ht="24" customHeight="1">
      <c r="B6" s="126">
        <v>2019</v>
      </c>
      <c r="C6" s="89">
        <f>COUNTIF('Auditorías Riesgos 2019-2023'!B:B,B6)</f>
        <v>13</v>
      </c>
      <c r="D6" s="89">
        <f>SUMIF('Auditorías Riesgos 2019-2023'!B:B,B6,'Auditorías Riesgos 2019-2023'!K:K)</f>
        <v>87</v>
      </c>
      <c r="E6" s="144">
        <f>COUNTIFS('Auditorías Riesgos 2019-2023'!B:B,B6,'Auditorías Riesgos 2019-2023'!L:L,"SI")</f>
        <v>11</v>
      </c>
      <c r="F6" s="145">
        <f t="shared" ref="F6:F11" si="0">IFERROR(E6/C6,"-")</f>
        <v>0.84615384615384615</v>
      </c>
      <c r="G6" s="89">
        <f>SUMIF('Auditorías Riesgos 2019-2023'!B:B,B6,'Auditorías Riesgos 2019-2023'!O:O)</f>
        <v>118</v>
      </c>
      <c r="H6" s="144">
        <f>SUMIF('Auditorías Riesgos 2019-2023'!B:B,B6,'Auditorías Riesgos 2019-2023'!P:P)</f>
        <v>34</v>
      </c>
      <c r="I6" s="145">
        <f t="shared" ref="I6:I11" si="1">IFERROR(H6/(SUM(H6,J6,L6)),"-")</f>
        <v>0.32692307692307693</v>
      </c>
      <c r="J6" s="144">
        <f>SUMIF('Auditorías Riesgos 2019-2023'!B:B,B6,'Auditorías Riesgos 2019-2023'!Q:Q)</f>
        <v>22</v>
      </c>
      <c r="K6" s="145">
        <f t="shared" ref="K6:K11" si="2">IFERROR(J6/(SUM(H6,J6,L6)),"-")</f>
        <v>0.21153846153846154</v>
      </c>
      <c r="L6" s="144">
        <f>SUMIF('Auditorías Riesgos 2019-2023'!B:B,B6,'Auditorías Riesgos 2019-2023'!R:R)</f>
        <v>48</v>
      </c>
      <c r="M6" s="145">
        <f t="shared" ref="M6:M11" si="3">IFERROR(L6/(SUM(H6,J6,L6)),"-")</f>
        <v>0.46153846153846156</v>
      </c>
      <c r="N6" s="89">
        <f>SUMIF('Auditorías Riesgos 2019-2023'!B:B,B6,'Auditorías Riesgos 2019-2023'!S:S)</f>
        <v>14</v>
      </c>
      <c r="O6" s="89">
        <f>IF(J6=0,"-",IFERROR(SUM(H6,J6,L6),"-"))</f>
        <v>104</v>
      </c>
      <c r="P6" s="144">
        <f>SUMIF('Auditorías Riesgos 2019-2023'!B:B,B6,'Auditorías Riesgos 2019-2023'!T:T)</f>
        <v>12</v>
      </c>
      <c r="Q6" s="145">
        <f t="shared" ref="Q6:Q11" si="4">IFERROR(P6/D6,"-")</f>
        <v>0.13793103448275862</v>
      </c>
    </row>
    <row r="7" spans="2:17" ht="24" customHeight="1">
      <c r="B7" s="126">
        <v>2020</v>
      </c>
      <c r="C7" s="89">
        <f>COUNTIF('Auditorías Riesgos 2019-2023'!B:B,B7)</f>
        <v>16</v>
      </c>
      <c r="D7" s="89">
        <f>SUMIF('Auditorías Riesgos 2019-2023'!B:B,B7,'Auditorías Riesgos 2019-2023'!K:K)</f>
        <v>97</v>
      </c>
      <c r="E7" s="144">
        <f>COUNTIFS('Auditorías Riesgos 2019-2023'!B:B,B7,'Auditorías Riesgos 2019-2023'!L:L,"SI")</f>
        <v>8</v>
      </c>
      <c r="F7" s="145">
        <f t="shared" si="0"/>
        <v>0.5</v>
      </c>
      <c r="G7" s="89">
        <f>SUMIF('Auditorías Riesgos 2019-2023'!B:B,B7,'Auditorías Riesgos 2019-2023'!O:O)</f>
        <v>59</v>
      </c>
      <c r="H7" s="144">
        <f>SUMIF('Auditorías Riesgos 2019-2023'!B:B,B7,'Auditorías Riesgos 2019-2023'!P:P)</f>
        <v>16</v>
      </c>
      <c r="I7" s="145">
        <f t="shared" si="1"/>
        <v>0.2711864406779661</v>
      </c>
      <c r="J7" s="144">
        <f>SUMIF('Auditorías Riesgos 2019-2023'!B:B,B7,'Auditorías Riesgos 2019-2023'!Q:Q)</f>
        <v>27</v>
      </c>
      <c r="K7" s="145">
        <f t="shared" si="2"/>
        <v>0.4576271186440678</v>
      </c>
      <c r="L7" s="144">
        <f>SUMIF('Auditorías Riesgos 2019-2023'!B:B,B7,'Auditorías Riesgos 2019-2023'!R:R)</f>
        <v>16</v>
      </c>
      <c r="M7" s="145">
        <f t="shared" si="3"/>
        <v>0.2711864406779661</v>
      </c>
      <c r="N7" s="89">
        <f>SUMIF('Auditorías Riesgos 2019-2023'!B:B,B7,'Auditorías Riesgos 2019-2023'!S:S)</f>
        <v>0</v>
      </c>
      <c r="O7" s="89">
        <f t="shared" ref="O7:O10" si="5">IF(J7=0,"-",IFERROR(SUM(H7,J7,L7),"-"))</f>
        <v>59</v>
      </c>
      <c r="P7" s="144">
        <f>SUMIF('Auditorías Riesgos 2019-2023'!B:B,B7,'Auditorías Riesgos 2019-2023'!T:T)</f>
        <v>18</v>
      </c>
      <c r="Q7" s="145">
        <f t="shared" si="4"/>
        <v>0.18556701030927836</v>
      </c>
    </row>
    <row r="8" spans="2:17" ht="24" customHeight="1">
      <c r="B8" s="126">
        <v>2021</v>
      </c>
      <c r="C8" s="89">
        <f>COUNTIF('Auditorías Riesgos 2019-2023'!B:B,B8)</f>
        <v>20</v>
      </c>
      <c r="D8" s="89">
        <f>SUMIF('Auditorías Riesgos 2019-2023'!B:B,B8,'Auditorías Riesgos 2019-2023'!K:K)</f>
        <v>89</v>
      </c>
      <c r="E8" s="144">
        <f>COUNTIFS('Auditorías Riesgos 2019-2023'!B:B,B8,'Auditorías Riesgos 2019-2023'!L:L,"SI")</f>
        <v>12</v>
      </c>
      <c r="F8" s="145">
        <f t="shared" si="0"/>
        <v>0.6</v>
      </c>
      <c r="G8" s="89">
        <f>SUMIF('Auditorías Riesgos 2019-2023'!B:B,B8,'Auditorías Riesgos 2019-2023'!O:O)</f>
        <v>119</v>
      </c>
      <c r="H8" s="144">
        <f>SUMIF('Auditorías Riesgos 2019-2023'!B:B,B8,'Auditorías Riesgos 2019-2023'!P:P)</f>
        <v>19</v>
      </c>
      <c r="I8" s="145">
        <f t="shared" si="1"/>
        <v>0.27536231884057971</v>
      </c>
      <c r="J8" s="144">
        <f>SUMIF('Auditorías Riesgos 2019-2023'!B:B,B8,'Auditorías Riesgos 2019-2023'!Q:Q)</f>
        <v>19</v>
      </c>
      <c r="K8" s="145">
        <f t="shared" si="2"/>
        <v>0.27536231884057971</v>
      </c>
      <c r="L8" s="144">
        <f>SUMIF('Auditorías Riesgos 2019-2023'!B:B,B8,'Auditorías Riesgos 2019-2023'!R:R)</f>
        <v>31</v>
      </c>
      <c r="M8" s="145">
        <f t="shared" si="3"/>
        <v>0.44927536231884058</v>
      </c>
      <c r="N8" s="89">
        <f>SUMIF('Auditorías Riesgos 2019-2023'!B:B,B8,'Auditorías Riesgos 2019-2023'!S:S)</f>
        <v>50</v>
      </c>
      <c r="O8" s="89">
        <f t="shared" si="5"/>
        <v>69</v>
      </c>
      <c r="P8" s="144">
        <f>SUMIF('Auditorías Riesgos 2019-2023'!B:B,B8,'Auditorías Riesgos 2019-2023'!T:T)</f>
        <v>11</v>
      </c>
      <c r="Q8" s="145">
        <f t="shared" si="4"/>
        <v>0.12359550561797752</v>
      </c>
    </row>
    <row r="9" spans="2:17" ht="24" customHeight="1">
      <c r="B9" s="126">
        <v>2022</v>
      </c>
      <c r="C9" s="89">
        <f>COUNTIF('Auditorías Riesgos 2019-2023'!B:B,B9)</f>
        <v>13</v>
      </c>
      <c r="D9" s="89">
        <f>SUMIF('Auditorías Riesgos 2019-2023'!B:B,B9,'Auditorías Riesgos 2019-2023'!K:K)</f>
        <v>31</v>
      </c>
      <c r="E9" s="144">
        <f>COUNTIFS('Auditorías Riesgos 2019-2023'!B:B,B9,'Auditorías Riesgos 2019-2023'!L:L,"SI")</f>
        <v>3</v>
      </c>
      <c r="F9" s="145">
        <f t="shared" si="0"/>
        <v>0.23076923076923078</v>
      </c>
      <c r="G9" s="89">
        <f>SUMIF('Auditorías Riesgos 2019-2023'!B:B,B9,'Auditorías Riesgos 2019-2023'!O:O)</f>
        <v>23</v>
      </c>
      <c r="H9" s="144">
        <f>SUMIF('Auditorías Riesgos 2019-2023'!B:B,B9,'Auditorías Riesgos 2019-2023'!P:P)</f>
        <v>3</v>
      </c>
      <c r="I9" s="145">
        <f t="shared" si="1"/>
        <v>0.25</v>
      </c>
      <c r="J9" s="144">
        <f>SUMIF('Auditorías Riesgos 2019-2023'!B:B,B9,'Auditorías Riesgos 2019-2023'!Q:Q)</f>
        <v>9</v>
      </c>
      <c r="K9" s="145">
        <f t="shared" si="2"/>
        <v>0.75</v>
      </c>
      <c r="L9" s="144">
        <f>SUMIF('Auditorías Riesgos 2019-2023'!B:B,B9,'Auditorías Riesgos 2019-2023'!R:R)</f>
        <v>0</v>
      </c>
      <c r="M9" s="145">
        <f t="shared" si="3"/>
        <v>0</v>
      </c>
      <c r="N9" s="89">
        <f>SUMIF('Auditorías Riesgos 2019-2023'!B:B,B9,'Auditorías Riesgos 2019-2023'!S:S)</f>
        <v>11</v>
      </c>
      <c r="O9" s="89">
        <f t="shared" si="5"/>
        <v>12</v>
      </c>
      <c r="P9" s="144">
        <f>SUMIF('Auditorías Riesgos 2019-2023'!B:B,B9,'Auditorías Riesgos 2019-2023'!T:T)</f>
        <v>0</v>
      </c>
      <c r="Q9" s="145">
        <f t="shared" si="4"/>
        <v>0</v>
      </c>
    </row>
    <row r="10" spans="2:17" ht="24" customHeight="1">
      <c r="B10" s="126">
        <v>2023</v>
      </c>
      <c r="C10" s="89">
        <f>COUNTIF('Auditorías Riesgos 2019-2023'!B:B,B10)</f>
        <v>23</v>
      </c>
      <c r="D10" s="89">
        <f>SUMIF('Auditorías Riesgos 2019-2023'!B:B,B10,'Auditorías Riesgos 2019-2023'!K:K)</f>
        <v>101</v>
      </c>
      <c r="E10" s="144">
        <f>COUNTIFS('Auditorías Riesgos 2019-2023'!B:B,B10,'Auditorías Riesgos 2019-2023'!L:L,"SI")</f>
        <v>6</v>
      </c>
      <c r="F10" s="145">
        <f t="shared" si="0"/>
        <v>0.2608695652173913</v>
      </c>
      <c r="G10" s="89">
        <f>SUMIF('Auditorías Riesgos 2019-2023'!B:B,B10,'Auditorías Riesgos 2019-2023'!O:O)</f>
        <v>36</v>
      </c>
      <c r="H10" s="144">
        <f>SUMIF('Auditorías Riesgos 2019-2023'!B:B,B10,'Auditorías Riesgos 2019-2023'!P:P)</f>
        <v>0</v>
      </c>
      <c r="I10" s="145" t="str">
        <f t="shared" si="1"/>
        <v>-</v>
      </c>
      <c r="J10" s="144">
        <f>SUMIF('Auditorías Riesgos 2019-2023'!B:B,B10,'Auditorías Riesgos 2019-2023'!Q:Q)</f>
        <v>0</v>
      </c>
      <c r="K10" s="145" t="str">
        <f t="shared" si="2"/>
        <v>-</v>
      </c>
      <c r="L10" s="144">
        <f>SUMIF('Auditorías Riesgos 2019-2023'!B:B,B10,'Auditorías Riesgos 2019-2023'!R:R)</f>
        <v>0</v>
      </c>
      <c r="M10" s="145" t="str">
        <f t="shared" si="3"/>
        <v>-</v>
      </c>
      <c r="N10" s="89">
        <f>SUMIF('Auditorías Riesgos 2019-2023'!B:B,B10,'Auditorías Riesgos 2019-2023'!S:S)</f>
        <v>36</v>
      </c>
      <c r="O10" s="89" t="str">
        <f t="shared" si="5"/>
        <v>-</v>
      </c>
      <c r="P10" s="144">
        <f>SUMIF('Auditorías Riesgos 2019-2023'!B:B,B10,'Auditorías Riesgos 2019-2023'!T:T)</f>
        <v>0</v>
      </c>
      <c r="Q10" s="145">
        <f t="shared" si="4"/>
        <v>0</v>
      </c>
    </row>
    <row r="11" spans="2:17" ht="24" customHeight="1">
      <c r="B11" s="92" t="s">
        <v>201</v>
      </c>
      <c r="C11" s="92">
        <f>SUM(C6:C10)</f>
        <v>85</v>
      </c>
      <c r="D11" s="92">
        <f>SUM(D6:D10)</f>
        <v>405</v>
      </c>
      <c r="E11" s="146">
        <f>SUM(E6:E10)</f>
        <v>40</v>
      </c>
      <c r="F11" s="147">
        <f t="shared" si="0"/>
        <v>0.47058823529411764</v>
      </c>
      <c r="G11" s="92">
        <f t="shared" ref="G11:P11" si="6">SUM(G6:G10)</f>
        <v>355</v>
      </c>
      <c r="H11" s="146">
        <f t="shared" si="6"/>
        <v>72</v>
      </c>
      <c r="I11" s="147">
        <f t="shared" si="1"/>
        <v>0.29508196721311475</v>
      </c>
      <c r="J11" s="146">
        <f t="shared" si="6"/>
        <v>77</v>
      </c>
      <c r="K11" s="147">
        <f t="shared" si="2"/>
        <v>0.3155737704918033</v>
      </c>
      <c r="L11" s="146">
        <f t="shared" si="6"/>
        <v>95</v>
      </c>
      <c r="M11" s="147">
        <f t="shared" si="3"/>
        <v>0.38934426229508196</v>
      </c>
      <c r="N11" s="92">
        <f>SUM(N6:N10)</f>
        <v>111</v>
      </c>
      <c r="O11" s="92">
        <f t="shared" ref="O11" si="7">SUM(O6:O10)</f>
        <v>244</v>
      </c>
      <c r="P11" s="146">
        <f t="shared" si="6"/>
        <v>41</v>
      </c>
      <c r="Q11" s="147">
        <f t="shared" si="4"/>
        <v>0.10123456790123457</v>
      </c>
    </row>
  </sheetData>
  <mergeCells count="11">
    <mergeCell ref="J4:K4"/>
    <mergeCell ref="L4:M4"/>
    <mergeCell ref="N4:N5"/>
    <mergeCell ref="P4:Q4"/>
    <mergeCell ref="B4:B5"/>
    <mergeCell ref="C4:C5"/>
    <mergeCell ref="E4:F4"/>
    <mergeCell ref="D4:D5"/>
    <mergeCell ref="G4:G5"/>
    <mergeCell ref="H4:I4"/>
    <mergeCell ref="O4:O5"/>
  </mergeCells>
  <pageMargins left="0.7" right="0.7" top="0.75" bottom="0.75" header="0.3" footer="0.3"/>
  <pageSetup orientation="portrait" r:id="rId1"/>
  <ignoredErrors>
    <ignoredError sqref="F11 I11 K11 M11"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W32"/>
  <sheetViews>
    <sheetView showGridLines="0" topLeftCell="A13" zoomScale="70" zoomScaleNormal="70" workbookViewId="0">
      <selection activeCell="L33" sqref="L33"/>
    </sheetView>
  </sheetViews>
  <sheetFormatPr baseColWidth="10" defaultColWidth="11.44140625" defaultRowHeight="13.8"/>
  <cols>
    <col min="1" max="1" width="1" style="96" customWidth="1"/>
    <col min="2" max="3" width="16.109375" style="96" customWidth="1"/>
    <col min="4" max="10" width="17.109375" style="96" customWidth="1"/>
    <col min="11" max="11" width="20.5546875" style="96" customWidth="1"/>
    <col min="12" max="12" width="18.6640625" style="96" customWidth="1"/>
    <col min="13" max="17" width="15.6640625" style="96" customWidth="1"/>
    <col min="18" max="18" width="18.6640625" style="96" customWidth="1"/>
    <col min="19" max="22" width="20.6640625" style="96" customWidth="1"/>
    <col min="23" max="23" width="22.6640625" style="96" customWidth="1"/>
    <col min="24" max="16384" width="11.44140625" style="96"/>
  </cols>
  <sheetData>
    <row r="2" spans="2:23" ht="20.399999999999999">
      <c r="B2" s="95" t="s">
        <v>294</v>
      </c>
    </row>
    <row r="3" spans="2:23" ht="9" customHeight="1"/>
    <row r="4" spans="2:23" ht="51" customHeight="1">
      <c r="B4" s="195" t="s">
        <v>5</v>
      </c>
      <c r="C4" s="196"/>
      <c r="D4" s="196"/>
      <c r="E4" s="83" t="s">
        <v>202</v>
      </c>
      <c r="F4" s="97"/>
      <c r="G4" s="97"/>
      <c r="H4" s="97"/>
      <c r="I4" s="97"/>
      <c r="J4" s="84"/>
      <c r="K4" s="200" t="s">
        <v>194</v>
      </c>
      <c r="L4" s="202" t="s">
        <v>189</v>
      </c>
      <c r="M4" s="200" t="s">
        <v>196</v>
      </c>
      <c r="N4" s="203" t="s">
        <v>197</v>
      </c>
      <c r="O4" s="193" t="s">
        <v>198</v>
      </c>
      <c r="P4" s="205" t="s">
        <v>199</v>
      </c>
      <c r="Q4" s="207" t="s">
        <v>200</v>
      </c>
      <c r="R4" s="209" t="s">
        <v>7</v>
      </c>
      <c r="S4" s="210" t="s">
        <v>195</v>
      </c>
      <c r="T4" s="204" t="s">
        <v>6</v>
      </c>
      <c r="U4" s="204" t="s">
        <v>295</v>
      </c>
      <c r="V4" s="204" t="s">
        <v>296</v>
      </c>
      <c r="W4" s="204" t="s">
        <v>8</v>
      </c>
    </row>
    <row r="5" spans="2:23" ht="51" customHeight="1">
      <c r="B5" s="197"/>
      <c r="C5" s="198"/>
      <c r="D5" s="199"/>
      <c r="E5" s="82">
        <v>2019</v>
      </c>
      <c r="F5" s="82">
        <v>2020</v>
      </c>
      <c r="G5" s="82">
        <v>2021</v>
      </c>
      <c r="H5" s="82">
        <v>2022</v>
      </c>
      <c r="I5" s="82">
        <v>2023</v>
      </c>
      <c r="J5" s="124" t="s">
        <v>201</v>
      </c>
      <c r="K5" s="201" t="s">
        <v>203</v>
      </c>
      <c r="L5" s="201"/>
      <c r="M5" s="201"/>
      <c r="N5" s="203"/>
      <c r="O5" s="194"/>
      <c r="P5" s="206"/>
      <c r="Q5" s="208"/>
      <c r="R5" s="209"/>
      <c r="S5" s="211" t="s">
        <v>203</v>
      </c>
      <c r="T5" s="204"/>
      <c r="U5" s="204"/>
      <c r="V5" s="204"/>
      <c r="W5" s="204"/>
    </row>
    <row r="6" spans="2:23" ht="21" customHeight="1">
      <c r="B6" s="12" t="s">
        <v>142</v>
      </c>
      <c r="C6" s="98"/>
      <c r="D6" s="99"/>
      <c r="E6" s="8">
        <v>0</v>
      </c>
      <c r="F6" s="8">
        <v>0</v>
      </c>
      <c r="G6" s="8">
        <v>0</v>
      </c>
      <c r="H6" s="8">
        <v>1</v>
      </c>
      <c r="I6" s="8">
        <v>1</v>
      </c>
      <c r="J6" s="13">
        <v>2</v>
      </c>
      <c r="K6" s="14">
        <v>2</v>
      </c>
      <c r="L6" s="8">
        <v>7</v>
      </c>
      <c r="M6" s="8">
        <v>11</v>
      </c>
      <c r="N6" s="8">
        <v>0</v>
      </c>
      <c r="O6" s="8">
        <v>0</v>
      </c>
      <c r="P6" s="8">
        <v>0</v>
      </c>
      <c r="Q6" s="8">
        <v>11</v>
      </c>
      <c r="R6" s="8">
        <v>0</v>
      </c>
      <c r="S6" s="7">
        <v>1</v>
      </c>
      <c r="T6" s="7" t="s">
        <v>339</v>
      </c>
      <c r="U6" s="7" t="s">
        <v>339</v>
      </c>
      <c r="V6" s="7" t="s">
        <v>339</v>
      </c>
      <c r="W6" s="7">
        <v>0</v>
      </c>
    </row>
    <row r="7" spans="2:23" ht="21" customHeight="1">
      <c r="B7" s="12" t="s">
        <v>92</v>
      </c>
      <c r="C7" s="98"/>
      <c r="D7" s="99"/>
      <c r="E7" s="8">
        <v>0</v>
      </c>
      <c r="F7" s="8">
        <v>0</v>
      </c>
      <c r="G7" s="8">
        <v>1</v>
      </c>
      <c r="H7" s="8">
        <v>0</v>
      </c>
      <c r="I7" s="8">
        <v>0</v>
      </c>
      <c r="J7" s="13">
        <v>1</v>
      </c>
      <c r="K7" s="14">
        <v>1</v>
      </c>
      <c r="L7" s="8">
        <v>12</v>
      </c>
      <c r="M7" s="8">
        <v>17</v>
      </c>
      <c r="N7" s="8">
        <v>12</v>
      </c>
      <c r="O7" s="8">
        <v>2</v>
      </c>
      <c r="P7" s="8">
        <v>0</v>
      </c>
      <c r="Q7" s="8">
        <v>3</v>
      </c>
      <c r="R7" s="8">
        <v>7</v>
      </c>
      <c r="S7" s="7">
        <v>1</v>
      </c>
      <c r="T7" s="7">
        <v>0.8571428571428571</v>
      </c>
      <c r="U7" s="7">
        <v>0.14285714285714285</v>
      </c>
      <c r="V7" s="7">
        <v>0</v>
      </c>
      <c r="W7" s="7">
        <v>0.58333333333333337</v>
      </c>
    </row>
    <row r="8" spans="2:23" ht="21" customHeight="1">
      <c r="B8" s="12" t="s">
        <v>204</v>
      </c>
      <c r="C8" s="98"/>
      <c r="D8" s="99"/>
      <c r="E8" s="8">
        <v>0</v>
      </c>
      <c r="F8" s="8">
        <v>0</v>
      </c>
      <c r="G8" s="8">
        <v>0</v>
      </c>
      <c r="H8" s="8">
        <v>0</v>
      </c>
      <c r="I8" s="8">
        <v>0</v>
      </c>
      <c r="J8" s="13">
        <v>0</v>
      </c>
      <c r="K8" s="14" t="s">
        <v>339</v>
      </c>
      <c r="L8" s="8" t="s">
        <v>339</v>
      </c>
      <c r="M8" s="8" t="s">
        <v>339</v>
      </c>
      <c r="N8" s="8" t="s">
        <v>339</v>
      </c>
      <c r="O8" s="8" t="s">
        <v>339</v>
      </c>
      <c r="P8" s="8" t="s">
        <v>339</v>
      </c>
      <c r="Q8" s="8" t="s">
        <v>339</v>
      </c>
      <c r="R8" s="8" t="s">
        <v>339</v>
      </c>
      <c r="S8" s="7" t="s">
        <v>339</v>
      </c>
      <c r="T8" s="7" t="s">
        <v>339</v>
      </c>
      <c r="U8" s="7" t="s">
        <v>339</v>
      </c>
      <c r="V8" s="7" t="s">
        <v>339</v>
      </c>
      <c r="W8" s="7" t="s">
        <v>339</v>
      </c>
    </row>
    <row r="9" spans="2:23" ht="21" customHeight="1">
      <c r="B9" s="15" t="s">
        <v>46</v>
      </c>
      <c r="C9" s="100"/>
      <c r="D9" s="101"/>
      <c r="E9" s="8">
        <v>1</v>
      </c>
      <c r="F9" s="8">
        <v>2</v>
      </c>
      <c r="G9" s="8">
        <v>1</v>
      </c>
      <c r="H9" s="8">
        <v>1</v>
      </c>
      <c r="I9" s="8">
        <v>1</v>
      </c>
      <c r="J9" s="13">
        <v>6</v>
      </c>
      <c r="K9" s="14">
        <v>2</v>
      </c>
      <c r="L9" s="8">
        <v>22</v>
      </c>
      <c r="M9" s="8">
        <v>16</v>
      </c>
      <c r="N9" s="8">
        <v>10</v>
      </c>
      <c r="O9" s="8">
        <v>0</v>
      </c>
      <c r="P9" s="8">
        <v>1</v>
      </c>
      <c r="Q9" s="8">
        <v>5</v>
      </c>
      <c r="R9" s="8">
        <v>2</v>
      </c>
      <c r="S9" s="7">
        <v>0.33333333333333331</v>
      </c>
      <c r="T9" s="7">
        <v>0.90909090909090906</v>
      </c>
      <c r="U9" s="7">
        <v>0</v>
      </c>
      <c r="V9" s="7">
        <v>9.0909090909090912E-2</v>
      </c>
      <c r="W9" s="7">
        <v>9.0909090909090912E-2</v>
      </c>
    </row>
    <row r="10" spans="2:23" ht="21" customHeight="1">
      <c r="B10" s="16" t="s">
        <v>31</v>
      </c>
      <c r="C10" s="102"/>
      <c r="D10" s="103"/>
      <c r="E10" s="8">
        <v>1</v>
      </c>
      <c r="F10" s="8">
        <v>1</v>
      </c>
      <c r="G10" s="8">
        <v>1</v>
      </c>
      <c r="H10" s="8">
        <v>0</v>
      </c>
      <c r="I10" s="8">
        <v>0</v>
      </c>
      <c r="J10" s="13">
        <v>3</v>
      </c>
      <c r="K10" s="14">
        <v>2</v>
      </c>
      <c r="L10" s="8">
        <v>15</v>
      </c>
      <c r="M10" s="8">
        <v>17</v>
      </c>
      <c r="N10" s="8">
        <v>6</v>
      </c>
      <c r="O10" s="8">
        <v>3</v>
      </c>
      <c r="P10" s="8">
        <v>8</v>
      </c>
      <c r="Q10" s="8">
        <v>0</v>
      </c>
      <c r="R10" s="8">
        <v>3</v>
      </c>
      <c r="S10" s="7">
        <v>0.66666666666666663</v>
      </c>
      <c r="T10" s="7">
        <v>0.35294117647058826</v>
      </c>
      <c r="U10" s="7">
        <v>0.17647058823529413</v>
      </c>
      <c r="V10" s="7">
        <v>0.47058823529411764</v>
      </c>
      <c r="W10" s="7">
        <v>0.2</v>
      </c>
    </row>
    <row r="11" spans="2:23" ht="21" customHeight="1">
      <c r="B11" s="16" t="s">
        <v>28</v>
      </c>
      <c r="C11" s="102"/>
      <c r="D11" s="103"/>
      <c r="E11" s="8">
        <v>1</v>
      </c>
      <c r="F11" s="8">
        <v>0</v>
      </c>
      <c r="G11" s="8">
        <v>0</v>
      </c>
      <c r="H11" s="8">
        <v>0</v>
      </c>
      <c r="I11" s="8">
        <v>0</v>
      </c>
      <c r="J11" s="13">
        <v>1</v>
      </c>
      <c r="K11" s="14">
        <v>1</v>
      </c>
      <c r="L11" s="8">
        <v>6</v>
      </c>
      <c r="M11" s="8">
        <v>6</v>
      </c>
      <c r="N11" s="8">
        <v>4</v>
      </c>
      <c r="O11" s="8">
        <v>1</v>
      </c>
      <c r="P11" s="8">
        <v>1</v>
      </c>
      <c r="Q11" s="8">
        <v>0</v>
      </c>
      <c r="R11" s="8">
        <v>4</v>
      </c>
      <c r="S11" s="7">
        <v>1</v>
      </c>
      <c r="T11" s="7">
        <v>0.66666666666666663</v>
      </c>
      <c r="U11" s="7">
        <v>0.16666666666666666</v>
      </c>
      <c r="V11" s="7">
        <v>0.16666666666666666</v>
      </c>
      <c r="W11" s="7">
        <v>0.66666666666666663</v>
      </c>
    </row>
    <row r="12" spans="2:23" ht="21" customHeight="1">
      <c r="B12" s="16" t="s">
        <v>16</v>
      </c>
      <c r="C12" s="102"/>
      <c r="D12" s="103"/>
      <c r="E12" s="8">
        <v>1</v>
      </c>
      <c r="F12" s="8">
        <v>1</v>
      </c>
      <c r="G12" s="8">
        <v>0</v>
      </c>
      <c r="H12" s="8">
        <v>0</v>
      </c>
      <c r="I12" s="8">
        <v>0</v>
      </c>
      <c r="J12" s="13">
        <v>2</v>
      </c>
      <c r="K12" s="14">
        <v>2</v>
      </c>
      <c r="L12" s="8">
        <v>13</v>
      </c>
      <c r="M12" s="8">
        <v>13</v>
      </c>
      <c r="N12" s="8">
        <v>5</v>
      </c>
      <c r="O12" s="8">
        <v>5</v>
      </c>
      <c r="P12" s="8">
        <v>3</v>
      </c>
      <c r="Q12" s="8">
        <v>0</v>
      </c>
      <c r="R12" s="8">
        <v>4</v>
      </c>
      <c r="S12" s="7">
        <v>1</v>
      </c>
      <c r="T12" s="7">
        <v>0.38461538461538464</v>
      </c>
      <c r="U12" s="7">
        <v>0.38461538461538464</v>
      </c>
      <c r="V12" s="7">
        <v>0.23076923076923078</v>
      </c>
      <c r="W12" s="7">
        <v>0.30769230769230771</v>
      </c>
    </row>
    <row r="13" spans="2:23" ht="21" customHeight="1">
      <c r="B13" s="16" t="s">
        <v>19</v>
      </c>
      <c r="C13" s="102"/>
      <c r="D13" s="103"/>
      <c r="E13" s="8">
        <v>1</v>
      </c>
      <c r="F13" s="8">
        <v>2</v>
      </c>
      <c r="G13" s="8">
        <v>2</v>
      </c>
      <c r="H13" s="8">
        <v>0</v>
      </c>
      <c r="I13" s="8">
        <v>0</v>
      </c>
      <c r="J13" s="13">
        <v>5</v>
      </c>
      <c r="K13" s="14">
        <v>2</v>
      </c>
      <c r="L13" s="8">
        <v>17</v>
      </c>
      <c r="M13" s="8">
        <v>19</v>
      </c>
      <c r="N13" s="8">
        <v>0</v>
      </c>
      <c r="O13" s="8">
        <v>4</v>
      </c>
      <c r="P13" s="8">
        <v>1</v>
      </c>
      <c r="Q13" s="8">
        <v>14</v>
      </c>
      <c r="R13" s="8">
        <v>0</v>
      </c>
      <c r="S13" s="7">
        <v>0.4</v>
      </c>
      <c r="T13" s="7">
        <v>0</v>
      </c>
      <c r="U13" s="7">
        <v>0.8</v>
      </c>
      <c r="V13" s="7">
        <v>0.2</v>
      </c>
      <c r="W13" s="7">
        <v>0</v>
      </c>
    </row>
    <row r="14" spans="2:23" ht="21" customHeight="1">
      <c r="B14" s="16" t="s">
        <v>12</v>
      </c>
      <c r="C14" s="102"/>
      <c r="D14" s="103"/>
      <c r="E14" s="8">
        <v>1</v>
      </c>
      <c r="F14" s="8">
        <v>1</v>
      </c>
      <c r="G14" s="8">
        <v>0</v>
      </c>
      <c r="H14" s="8">
        <v>0</v>
      </c>
      <c r="I14" s="8">
        <v>0</v>
      </c>
      <c r="J14" s="13">
        <v>2</v>
      </c>
      <c r="K14" s="14">
        <v>2</v>
      </c>
      <c r="L14" s="8">
        <v>8</v>
      </c>
      <c r="M14" s="8">
        <v>19</v>
      </c>
      <c r="N14" s="8">
        <v>11</v>
      </c>
      <c r="O14" s="8">
        <v>1</v>
      </c>
      <c r="P14" s="8">
        <v>7</v>
      </c>
      <c r="Q14" s="8">
        <v>0</v>
      </c>
      <c r="R14" s="8">
        <v>2</v>
      </c>
      <c r="S14" s="7">
        <v>1</v>
      </c>
      <c r="T14" s="7">
        <v>0.57894736842105265</v>
      </c>
      <c r="U14" s="7">
        <v>5.2631578947368418E-2</v>
      </c>
      <c r="V14" s="7">
        <v>0.36842105263157893</v>
      </c>
      <c r="W14" s="7">
        <v>0.25</v>
      </c>
    </row>
    <row r="15" spans="2:23" ht="21" customHeight="1">
      <c r="B15" s="16" t="s">
        <v>25</v>
      </c>
      <c r="C15" s="102"/>
      <c r="D15" s="103"/>
      <c r="E15" s="8">
        <v>1</v>
      </c>
      <c r="F15" s="8">
        <v>1</v>
      </c>
      <c r="G15" s="8">
        <v>0</v>
      </c>
      <c r="H15" s="8">
        <v>0</v>
      </c>
      <c r="I15" s="8">
        <v>0</v>
      </c>
      <c r="J15" s="13">
        <v>2</v>
      </c>
      <c r="K15" s="14">
        <v>2</v>
      </c>
      <c r="L15" s="8">
        <v>12</v>
      </c>
      <c r="M15" s="8">
        <v>13</v>
      </c>
      <c r="N15" s="8">
        <v>0</v>
      </c>
      <c r="O15" s="8">
        <v>5</v>
      </c>
      <c r="P15" s="8">
        <v>8</v>
      </c>
      <c r="Q15" s="8">
        <v>0</v>
      </c>
      <c r="R15" s="8">
        <v>0</v>
      </c>
      <c r="S15" s="7">
        <v>1</v>
      </c>
      <c r="T15" s="7">
        <v>0</v>
      </c>
      <c r="U15" s="7">
        <v>0.38461538461538464</v>
      </c>
      <c r="V15" s="7">
        <v>0.61538461538461542</v>
      </c>
      <c r="W15" s="7">
        <v>0</v>
      </c>
    </row>
    <row r="16" spans="2:23" ht="21" customHeight="1">
      <c r="B16" s="16" t="s">
        <v>71</v>
      </c>
      <c r="C16" s="102"/>
      <c r="D16" s="103"/>
      <c r="E16" s="8">
        <v>0</v>
      </c>
      <c r="F16" s="8">
        <v>1</v>
      </c>
      <c r="G16" s="8">
        <v>0</v>
      </c>
      <c r="H16" s="8">
        <v>0</v>
      </c>
      <c r="I16" s="8">
        <v>0</v>
      </c>
      <c r="J16" s="13">
        <v>1</v>
      </c>
      <c r="K16" s="14">
        <v>1</v>
      </c>
      <c r="L16" s="8">
        <v>4</v>
      </c>
      <c r="M16" s="8">
        <v>16</v>
      </c>
      <c r="N16" s="8">
        <v>6</v>
      </c>
      <c r="O16" s="8">
        <v>9</v>
      </c>
      <c r="P16" s="8">
        <v>1</v>
      </c>
      <c r="Q16" s="8">
        <v>0</v>
      </c>
      <c r="R16" s="8">
        <v>0</v>
      </c>
      <c r="S16" s="7">
        <v>1</v>
      </c>
      <c r="T16" s="7">
        <v>0.375</v>
      </c>
      <c r="U16" s="7">
        <v>0.5625</v>
      </c>
      <c r="V16" s="7">
        <v>6.25E-2</v>
      </c>
      <c r="W16" s="7">
        <v>0</v>
      </c>
    </row>
    <row r="17" spans="2:23" ht="21" customHeight="1">
      <c r="B17" s="16" t="s">
        <v>22</v>
      </c>
      <c r="C17" s="102"/>
      <c r="D17" s="103"/>
      <c r="E17" s="8">
        <v>1</v>
      </c>
      <c r="F17" s="8">
        <v>1</v>
      </c>
      <c r="G17" s="8">
        <v>0</v>
      </c>
      <c r="H17" s="8">
        <v>1</v>
      </c>
      <c r="I17" s="8">
        <v>1</v>
      </c>
      <c r="J17" s="13">
        <v>4</v>
      </c>
      <c r="K17" s="14">
        <v>2</v>
      </c>
      <c r="L17" s="8">
        <v>14</v>
      </c>
      <c r="M17" s="8">
        <v>20</v>
      </c>
      <c r="N17" s="8">
        <v>0</v>
      </c>
      <c r="O17" s="8">
        <v>4</v>
      </c>
      <c r="P17" s="8">
        <v>16</v>
      </c>
      <c r="Q17" s="8">
        <v>0</v>
      </c>
      <c r="R17" s="8">
        <v>0</v>
      </c>
      <c r="S17" s="7">
        <v>0.5</v>
      </c>
      <c r="T17" s="7">
        <v>0</v>
      </c>
      <c r="U17" s="7">
        <v>0.2</v>
      </c>
      <c r="V17" s="7">
        <v>0.8</v>
      </c>
      <c r="W17" s="7">
        <v>0</v>
      </c>
    </row>
    <row r="18" spans="2:23" ht="21" customHeight="1">
      <c r="B18" s="16" t="s">
        <v>85</v>
      </c>
      <c r="C18" s="102"/>
      <c r="D18" s="103"/>
      <c r="E18" s="8">
        <v>0</v>
      </c>
      <c r="F18" s="8">
        <v>1</v>
      </c>
      <c r="G18" s="8">
        <v>0</v>
      </c>
      <c r="H18" s="8">
        <v>0</v>
      </c>
      <c r="I18" s="8">
        <v>0</v>
      </c>
      <c r="J18" s="13">
        <v>1</v>
      </c>
      <c r="K18" s="14">
        <v>1</v>
      </c>
      <c r="L18" s="8">
        <v>6</v>
      </c>
      <c r="M18" s="8">
        <v>5</v>
      </c>
      <c r="N18" s="8">
        <v>4</v>
      </c>
      <c r="O18" s="8">
        <v>1</v>
      </c>
      <c r="P18" s="8">
        <v>0</v>
      </c>
      <c r="Q18" s="8">
        <v>0</v>
      </c>
      <c r="R18" s="8">
        <v>4</v>
      </c>
      <c r="S18" s="7">
        <v>1</v>
      </c>
      <c r="T18" s="7">
        <v>0.8</v>
      </c>
      <c r="U18" s="7">
        <v>0.2</v>
      </c>
      <c r="V18" s="7">
        <v>0</v>
      </c>
      <c r="W18" s="7">
        <v>0.66666666666666663</v>
      </c>
    </row>
    <row r="19" spans="2:23" ht="21" customHeight="1">
      <c r="B19" s="16" t="s">
        <v>128</v>
      </c>
      <c r="C19" s="102"/>
      <c r="D19" s="103"/>
      <c r="E19" s="8">
        <v>0</v>
      </c>
      <c r="F19" s="8">
        <v>0</v>
      </c>
      <c r="G19" s="8">
        <v>1</v>
      </c>
      <c r="H19" s="8">
        <v>2</v>
      </c>
      <c r="I19" s="8">
        <v>0</v>
      </c>
      <c r="J19" s="13">
        <v>3</v>
      </c>
      <c r="K19" s="14">
        <v>2</v>
      </c>
      <c r="L19" s="8">
        <v>3</v>
      </c>
      <c r="M19" s="8">
        <v>20</v>
      </c>
      <c r="N19" s="8">
        <v>3</v>
      </c>
      <c r="O19" s="8">
        <v>9</v>
      </c>
      <c r="P19" s="8">
        <v>0</v>
      </c>
      <c r="Q19" s="8">
        <v>8</v>
      </c>
      <c r="R19" s="8">
        <v>0</v>
      </c>
      <c r="S19" s="7">
        <v>0.66666666666666663</v>
      </c>
      <c r="T19" s="7">
        <v>0.25</v>
      </c>
      <c r="U19" s="7">
        <v>0.75</v>
      </c>
      <c r="V19" s="7">
        <v>0</v>
      </c>
      <c r="W19" s="7">
        <v>0</v>
      </c>
    </row>
    <row r="20" spans="2:23" ht="21" customHeight="1">
      <c r="B20" s="17" t="s">
        <v>67</v>
      </c>
      <c r="C20" s="104"/>
      <c r="D20" s="105"/>
      <c r="E20" s="8">
        <v>0</v>
      </c>
      <c r="F20" s="8">
        <v>2</v>
      </c>
      <c r="G20" s="8">
        <v>2</v>
      </c>
      <c r="H20" s="8">
        <v>0</v>
      </c>
      <c r="I20" s="8">
        <v>1</v>
      </c>
      <c r="J20" s="13">
        <v>5</v>
      </c>
      <c r="K20" s="14">
        <v>4</v>
      </c>
      <c r="L20" s="8">
        <v>40</v>
      </c>
      <c r="M20" s="8">
        <v>34</v>
      </c>
      <c r="N20" s="8">
        <v>4</v>
      </c>
      <c r="O20" s="8">
        <v>5</v>
      </c>
      <c r="P20" s="8">
        <v>9</v>
      </c>
      <c r="Q20" s="8">
        <v>16</v>
      </c>
      <c r="R20" s="8">
        <v>12</v>
      </c>
      <c r="S20" s="7">
        <v>0.8</v>
      </c>
      <c r="T20" s="7">
        <v>0.22222222222222221</v>
      </c>
      <c r="U20" s="7">
        <v>0.27777777777777779</v>
      </c>
      <c r="V20" s="7">
        <v>0.5</v>
      </c>
      <c r="W20" s="7">
        <v>0.3</v>
      </c>
    </row>
    <row r="21" spans="2:23" ht="21" customHeight="1">
      <c r="B21" s="17" t="s">
        <v>36</v>
      </c>
      <c r="C21" s="104"/>
      <c r="D21" s="105"/>
      <c r="E21" s="8">
        <v>2</v>
      </c>
      <c r="F21" s="8">
        <v>1</v>
      </c>
      <c r="G21" s="8">
        <v>4</v>
      </c>
      <c r="H21" s="8">
        <v>3</v>
      </c>
      <c r="I21" s="8">
        <v>7</v>
      </c>
      <c r="J21" s="13">
        <v>17</v>
      </c>
      <c r="K21" s="14">
        <v>3</v>
      </c>
      <c r="L21" s="8">
        <v>109</v>
      </c>
      <c r="M21" s="8">
        <v>28</v>
      </c>
      <c r="N21" s="8">
        <v>2</v>
      </c>
      <c r="O21" s="8">
        <v>15</v>
      </c>
      <c r="P21" s="8">
        <v>9</v>
      </c>
      <c r="Q21" s="8">
        <v>2</v>
      </c>
      <c r="R21" s="8">
        <v>1</v>
      </c>
      <c r="S21" s="7">
        <v>0.17647058823529413</v>
      </c>
      <c r="T21" s="7">
        <v>7.6923076923076927E-2</v>
      </c>
      <c r="U21" s="7">
        <v>0.57692307692307687</v>
      </c>
      <c r="V21" s="7">
        <v>0.34615384615384615</v>
      </c>
      <c r="W21" s="7">
        <v>9.1743119266055051E-3</v>
      </c>
    </row>
    <row r="22" spans="2:23" ht="21" customHeight="1">
      <c r="B22" s="17" t="s">
        <v>106</v>
      </c>
      <c r="C22" s="104"/>
      <c r="D22" s="105"/>
      <c r="E22" s="8">
        <v>0</v>
      </c>
      <c r="F22" s="8">
        <v>0</v>
      </c>
      <c r="G22" s="8">
        <v>1</v>
      </c>
      <c r="H22" s="8">
        <v>0</v>
      </c>
      <c r="I22" s="8">
        <v>3</v>
      </c>
      <c r="J22" s="13">
        <v>4</v>
      </c>
      <c r="K22" s="14">
        <v>1</v>
      </c>
      <c r="L22" s="8">
        <v>11</v>
      </c>
      <c r="M22" s="8">
        <v>6</v>
      </c>
      <c r="N22" s="8">
        <v>0</v>
      </c>
      <c r="O22" s="8">
        <v>0</v>
      </c>
      <c r="P22" s="8">
        <v>0</v>
      </c>
      <c r="Q22" s="8">
        <v>6</v>
      </c>
      <c r="R22" s="8">
        <v>0</v>
      </c>
      <c r="S22" s="7">
        <v>0.25</v>
      </c>
      <c r="T22" s="7" t="s">
        <v>339</v>
      </c>
      <c r="U22" s="7" t="s">
        <v>339</v>
      </c>
      <c r="V22" s="7" t="s">
        <v>339</v>
      </c>
      <c r="W22" s="7">
        <v>0</v>
      </c>
    </row>
    <row r="23" spans="2:23" ht="21" customHeight="1">
      <c r="B23" s="17" t="s">
        <v>41</v>
      </c>
      <c r="C23" s="104"/>
      <c r="D23" s="105"/>
      <c r="E23" s="8">
        <v>1</v>
      </c>
      <c r="F23" s="8">
        <v>2</v>
      </c>
      <c r="G23" s="8">
        <v>4</v>
      </c>
      <c r="H23" s="8">
        <v>4</v>
      </c>
      <c r="I23" s="8">
        <v>1</v>
      </c>
      <c r="J23" s="13">
        <v>12</v>
      </c>
      <c r="K23" s="14">
        <v>4</v>
      </c>
      <c r="L23" s="8">
        <v>46</v>
      </c>
      <c r="M23" s="8">
        <v>40</v>
      </c>
      <c r="N23" s="8">
        <v>0</v>
      </c>
      <c r="O23" s="8">
        <v>3</v>
      </c>
      <c r="P23" s="8">
        <v>11</v>
      </c>
      <c r="Q23" s="8">
        <v>26</v>
      </c>
      <c r="R23" s="8">
        <v>0</v>
      </c>
      <c r="S23" s="7">
        <v>0.33333333333333331</v>
      </c>
      <c r="T23" s="7">
        <v>0</v>
      </c>
      <c r="U23" s="7">
        <v>0.21428571428571427</v>
      </c>
      <c r="V23" s="7">
        <v>0.7857142857142857</v>
      </c>
      <c r="W23" s="7">
        <v>0</v>
      </c>
    </row>
    <row r="24" spans="2:23" ht="21" customHeight="1">
      <c r="B24" s="17" t="s">
        <v>55</v>
      </c>
      <c r="C24" s="104"/>
      <c r="D24" s="105"/>
      <c r="E24" s="8">
        <v>1</v>
      </c>
      <c r="F24" s="8">
        <v>0</v>
      </c>
      <c r="G24" s="8">
        <v>1</v>
      </c>
      <c r="H24" s="8">
        <v>0</v>
      </c>
      <c r="I24" s="8">
        <v>0</v>
      </c>
      <c r="J24" s="13">
        <v>2</v>
      </c>
      <c r="K24" s="14">
        <v>1</v>
      </c>
      <c r="L24" s="8">
        <v>8</v>
      </c>
      <c r="M24" s="8">
        <v>15</v>
      </c>
      <c r="N24" s="8">
        <v>0</v>
      </c>
      <c r="O24" s="8">
        <v>0</v>
      </c>
      <c r="P24" s="8">
        <v>0</v>
      </c>
      <c r="Q24" s="8">
        <v>15</v>
      </c>
      <c r="R24" s="8">
        <v>0</v>
      </c>
      <c r="S24" s="7">
        <v>0.5</v>
      </c>
      <c r="T24" s="7" t="s">
        <v>339</v>
      </c>
      <c r="U24" s="7" t="s">
        <v>339</v>
      </c>
      <c r="V24" s="7" t="s">
        <v>339</v>
      </c>
      <c r="W24" s="7">
        <v>0</v>
      </c>
    </row>
    <row r="25" spans="2:23" ht="21" customHeight="1">
      <c r="B25" s="17" t="s">
        <v>186</v>
      </c>
      <c r="C25" s="104"/>
      <c r="D25" s="105"/>
      <c r="E25" s="8">
        <v>0</v>
      </c>
      <c r="F25" s="8">
        <v>0</v>
      </c>
      <c r="G25" s="8">
        <v>0</v>
      </c>
      <c r="H25" s="8">
        <v>0</v>
      </c>
      <c r="I25" s="8">
        <v>1</v>
      </c>
      <c r="J25" s="13">
        <v>1</v>
      </c>
      <c r="K25" s="14">
        <v>0</v>
      </c>
      <c r="L25" s="8">
        <v>9</v>
      </c>
      <c r="M25" s="8">
        <v>0</v>
      </c>
      <c r="N25" s="8">
        <v>0</v>
      </c>
      <c r="O25" s="8">
        <v>0</v>
      </c>
      <c r="P25" s="8">
        <v>0</v>
      </c>
      <c r="Q25" s="8">
        <v>0</v>
      </c>
      <c r="R25" s="8">
        <v>0</v>
      </c>
      <c r="S25" s="7">
        <v>0</v>
      </c>
      <c r="T25" s="7" t="s">
        <v>339</v>
      </c>
      <c r="U25" s="7" t="s">
        <v>339</v>
      </c>
      <c r="V25" s="7" t="s">
        <v>339</v>
      </c>
      <c r="W25" s="7">
        <v>0</v>
      </c>
    </row>
    <row r="26" spans="2:23" ht="21" customHeight="1">
      <c r="B26" s="17" t="s">
        <v>51</v>
      </c>
      <c r="C26" s="104"/>
      <c r="D26" s="105"/>
      <c r="E26" s="8">
        <v>1</v>
      </c>
      <c r="F26" s="8">
        <v>0</v>
      </c>
      <c r="G26" s="8">
        <v>1</v>
      </c>
      <c r="H26" s="8">
        <v>0</v>
      </c>
      <c r="I26" s="8">
        <v>0</v>
      </c>
      <c r="J26" s="13">
        <v>2</v>
      </c>
      <c r="K26" s="14">
        <v>2</v>
      </c>
      <c r="L26" s="8">
        <v>10</v>
      </c>
      <c r="M26" s="8">
        <v>23</v>
      </c>
      <c r="N26" s="8">
        <v>5</v>
      </c>
      <c r="O26" s="8">
        <v>6</v>
      </c>
      <c r="P26" s="8">
        <v>12</v>
      </c>
      <c r="Q26" s="8">
        <v>0</v>
      </c>
      <c r="R26" s="8">
        <v>2</v>
      </c>
      <c r="S26" s="7">
        <v>1</v>
      </c>
      <c r="T26" s="7">
        <v>0.21739130434782608</v>
      </c>
      <c r="U26" s="7">
        <v>0.2608695652173913</v>
      </c>
      <c r="V26" s="7">
        <v>0.52173913043478259</v>
      </c>
      <c r="W26" s="7">
        <v>0.2</v>
      </c>
    </row>
    <row r="27" spans="2:23" ht="21" customHeight="1">
      <c r="B27" s="17" t="s">
        <v>205</v>
      </c>
      <c r="C27" s="104"/>
      <c r="D27" s="105"/>
      <c r="E27" s="8">
        <v>0</v>
      </c>
      <c r="F27" s="8">
        <v>0</v>
      </c>
      <c r="G27" s="8">
        <v>0</v>
      </c>
      <c r="H27" s="8">
        <v>0</v>
      </c>
      <c r="I27" s="8">
        <v>0</v>
      </c>
      <c r="J27" s="13">
        <v>0</v>
      </c>
      <c r="K27" s="14" t="s">
        <v>339</v>
      </c>
      <c r="L27" s="8" t="s">
        <v>339</v>
      </c>
      <c r="M27" s="8" t="s">
        <v>339</v>
      </c>
      <c r="N27" s="8" t="s">
        <v>339</v>
      </c>
      <c r="O27" s="8" t="s">
        <v>339</v>
      </c>
      <c r="P27" s="8" t="s">
        <v>339</v>
      </c>
      <c r="Q27" s="8" t="s">
        <v>339</v>
      </c>
      <c r="R27" s="8" t="s">
        <v>339</v>
      </c>
      <c r="S27" s="7" t="s">
        <v>339</v>
      </c>
      <c r="T27" s="7" t="s">
        <v>339</v>
      </c>
      <c r="U27" s="7" t="s">
        <v>339</v>
      </c>
      <c r="V27" s="7" t="s">
        <v>339</v>
      </c>
      <c r="W27" s="7" t="s">
        <v>339</v>
      </c>
    </row>
    <row r="28" spans="2:23" ht="21" customHeight="1">
      <c r="B28" s="18" t="s">
        <v>206</v>
      </c>
      <c r="C28" s="106"/>
      <c r="D28" s="107"/>
      <c r="E28" s="8">
        <v>0</v>
      </c>
      <c r="F28" s="8">
        <v>0</v>
      </c>
      <c r="G28" s="8">
        <v>0</v>
      </c>
      <c r="H28" s="8">
        <v>0</v>
      </c>
      <c r="I28" s="8">
        <v>0</v>
      </c>
      <c r="J28" s="13">
        <v>0</v>
      </c>
      <c r="K28" s="14" t="s">
        <v>339</v>
      </c>
      <c r="L28" s="8" t="s">
        <v>339</v>
      </c>
      <c r="M28" s="8" t="s">
        <v>339</v>
      </c>
      <c r="N28" s="8" t="s">
        <v>339</v>
      </c>
      <c r="O28" s="8" t="s">
        <v>339</v>
      </c>
      <c r="P28" s="8" t="s">
        <v>339</v>
      </c>
      <c r="Q28" s="8" t="s">
        <v>339</v>
      </c>
      <c r="R28" s="8" t="s">
        <v>339</v>
      </c>
      <c r="S28" s="7" t="s">
        <v>339</v>
      </c>
      <c r="T28" s="7" t="s">
        <v>339</v>
      </c>
      <c r="U28" s="7" t="s">
        <v>339</v>
      </c>
      <c r="V28" s="7" t="s">
        <v>339</v>
      </c>
      <c r="W28" s="7" t="s">
        <v>339</v>
      </c>
    </row>
    <row r="29" spans="2:23" ht="21" customHeight="1">
      <c r="B29" s="19" t="s">
        <v>118</v>
      </c>
      <c r="C29" s="108"/>
      <c r="D29" s="109"/>
      <c r="E29" s="8">
        <v>0</v>
      </c>
      <c r="F29" s="8">
        <v>0</v>
      </c>
      <c r="G29" s="8">
        <v>1</v>
      </c>
      <c r="H29" s="8">
        <v>0</v>
      </c>
      <c r="I29" s="8">
        <v>1</v>
      </c>
      <c r="J29" s="13">
        <v>2</v>
      </c>
      <c r="K29" s="14">
        <v>1</v>
      </c>
      <c r="L29" s="8">
        <v>4</v>
      </c>
      <c r="M29" s="8">
        <v>12</v>
      </c>
      <c r="N29" s="8">
        <v>0</v>
      </c>
      <c r="O29" s="8">
        <v>4</v>
      </c>
      <c r="P29" s="8">
        <v>8</v>
      </c>
      <c r="Q29" s="8">
        <v>0</v>
      </c>
      <c r="R29" s="8">
        <v>0</v>
      </c>
      <c r="S29" s="7">
        <v>0.5</v>
      </c>
      <c r="T29" s="7">
        <v>0</v>
      </c>
      <c r="U29" s="7">
        <v>0.33333333333333331</v>
      </c>
      <c r="V29" s="7">
        <v>0.66666666666666663</v>
      </c>
      <c r="W29" s="7">
        <v>0</v>
      </c>
    </row>
    <row r="30" spans="2:23" ht="21" customHeight="1">
      <c r="B30" s="19" t="s">
        <v>163</v>
      </c>
      <c r="C30" s="108"/>
      <c r="D30" s="109"/>
      <c r="E30" s="8">
        <v>0</v>
      </c>
      <c r="F30" s="8">
        <v>0</v>
      </c>
      <c r="G30" s="8">
        <v>0</v>
      </c>
      <c r="H30" s="8">
        <v>0</v>
      </c>
      <c r="I30" s="8">
        <v>3</v>
      </c>
      <c r="J30" s="13">
        <v>3</v>
      </c>
      <c r="K30" s="14">
        <v>0</v>
      </c>
      <c r="L30" s="8">
        <v>18</v>
      </c>
      <c r="M30" s="8">
        <v>0</v>
      </c>
      <c r="N30" s="8">
        <v>0</v>
      </c>
      <c r="O30" s="8">
        <v>0</v>
      </c>
      <c r="P30" s="8">
        <v>0</v>
      </c>
      <c r="Q30" s="8">
        <v>0</v>
      </c>
      <c r="R30" s="8">
        <v>0</v>
      </c>
      <c r="S30" s="7">
        <v>0</v>
      </c>
      <c r="T30" s="7" t="s">
        <v>339</v>
      </c>
      <c r="U30" s="7" t="s">
        <v>339</v>
      </c>
      <c r="V30" s="7" t="s">
        <v>339</v>
      </c>
      <c r="W30" s="7">
        <v>0</v>
      </c>
    </row>
    <row r="31" spans="2:23" ht="21" customHeight="1">
      <c r="B31" s="19" t="s">
        <v>152</v>
      </c>
      <c r="C31" s="108"/>
      <c r="D31" s="109"/>
      <c r="E31" s="8">
        <v>0</v>
      </c>
      <c r="F31" s="8">
        <v>0</v>
      </c>
      <c r="G31" s="8">
        <v>0</v>
      </c>
      <c r="H31" s="8">
        <v>1</v>
      </c>
      <c r="I31" s="8">
        <v>0</v>
      </c>
      <c r="J31" s="13">
        <v>1</v>
      </c>
      <c r="K31" s="14">
        <v>0</v>
      </c>
      <c r="L31" s="8">
        <v>5</v>
      </c>
      <c r="M31" s="8">
        <v>0</v>
      </c>
      <c r="N31" s="8">
        <v>0</v>
      </c>
      <c r="O31" s="8">
        <v>0</v>
      </c>
      <c r="P31" s="8">
        <v>0</v>
      </c>
      <c r="Q31" s="8">
        <v>0</v>
      </c>
      <c r="R31" s="8">
        <v>0</v>
      </c>
      <c r="S31" s="7">
        <v>0</v>
      </c>
      <c r="T31" s="7" t="s">
        <v>339</v>
      </c>
      <c r="U31" s="7" t="s">
        <v>339</v>
      </c>
      <c r="V31" s="7" t="s">
        <v>339</v>
      </c>
      <c r="W31" s="7">
        <v>0</v>
      </c>
    </row>
    <row r="32" spans="2:23" ht="24" customHeight="1">
      <c r="B32" s="80" t="s">
        <v>201</v>
      </c>
      <c r="C32" s="110"/>
      <c r="D32" s="111"/>
      <c r="E32" s="81">
        <v>13</v>
      </c>
      <c r="F32" s="81">
        <v>16</v>
      </c>
      <c r="G32" s="81">
        <v>20</v>
      </c>
      <c r="H32" s="81">
        <v>13</v>
      </c>
      <c r="I32" s="81">
        <v>20</v>
      </c>
      <c r="J32" s="81">
        <v>82</v>
      </c>
      <c r="K32" s="78">
        <v>38</v>
      </c>
      <c r="L32" s="78">
        <v>399</v>
      </c>
      <c r="M32" s="78">
        <v>350</v>
      </c>
      <c r="N32" s="78">
        <v>72</v>
      </c>
      <c r="O32" s="78">
        <v>77</v>
      </c>
      <c r="P32" s="78">
        <v>95</v>
      </c>
      <c r="Q32" s="78">
        <v>106</v>
      </c>
      <c r="R32" s="78">
        <v>41</v>
      </c>
      <c r="S32" s="79">
        <v>0.46341463414634149</v>
      </c>
      <c r="T32" s="79">
        <v>0.29508196721311475</v>
      </c>
      <c r="U32" s="79">
        <v>0.3155737704918033</v>
      </c>
      <c r="V32" s="79">
        <v>0.38934426229508196</v>
      </c>
      <c r="W32" s="79">
        <v>0.10275689223057644</v>
      </c>
    </row>
  </sheetData>
  <mergeCells count="14">
    <mergeCell ref="V4:V5"/>
    <mergeCell ref="W4:W5"/>
    <mergeCell ref="P4:P5"/>
    <mergeCell ref="Q4:Q5"/>
    <mergeCell ref="R4:R5"/>
    <mergeCell ref="S4:S5"/>
    <mergeCell ref="T4:T5"/>
    <mergeCell ref="U4:U5"/>
    <mergeCell ref="O4:O5"/>
    <mergeCell ref="B4:D5"/>
    <mergeCell ref="K4:K5"/>
    <mergeCell ref="L4:L5"/>
    <mergeCell ref="M4:M5"/>
    <mergeCell ref="N4:N5"/>
  </mergeCells>
  <conditionalFormatting sqref="E6:I31">
    <cfRule type="cellIs" dxfId="4" priority="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W32"/>
  <sheetViews>
    <sheetView showGridLines="0" zoomScale="70" zoomScaleNormal="70" workbookViewId="0">
      <selection activeCell="H14" sqref="H14"/>
    </sheetView>
  </sheetViews>
  <sheetFormatPr baseColWidth="10" defaultColWidth="11.44140625" defaultRowHeight="13.8"/>
  <cols>
    <col min="1" max="1" width="1" style="96" customWidth="1"/>
    <col min="2" max="3" width="16.109375" style="96" customWidth="1"/>
    <col min="4" max="4" width="17.109375" style="96" customWidth="1"/>
    <col min="5" max="10" width="13.6640625" style="96" customWidth="1"/>
    <col min="11" max="11" width="20.5546875" style="96" customWidth="1"/>
    <col min="12" max="12" width="18.6640625" style="96" customWidth="1"/>
    <col min="13" max="17" width="15.6640625" style="96" customWidth="1"/>
    <col min="18" max="18" width="18.6640625" style="96" customWidth="1"/>
    <col min="19" max="22" width="20.6640625" style="96" customWidth="1"/>
    <col min="23" max="23" width="22.6640625" style="96" customWidth="1"/>
    <col min="24" max="16384" width="11.44140625" style="96"/>
  </cols>
  <sheetData>
    <row r="2" spans="2:23" ht="20.399999999999999">
      <c r="B2" s="95" t="s">
        <v>353</v>
      </c>
    </row>
    <row r="3" spans="2:23" ht="9" customHeight="1"/>
    <row r="4" spans="2:23" ht="45.75" customHeight="1">
      <c r="B4" s="195" t="s">
        <v>5</v>
      </c>
      <c r="C4" s="196"/>
      <c r="D4" s="196"/>
      <c r="E4" s="212" t="s">
        <v>350</v>
      </c>
      <c r="F4" s="213"/>
      <c r="G4" s="213"/>
      <c r="H4" s="213"/>
      <c r="I4" s="213"/>
      <c r="J4" s="214"/>
      <c r="K4" s="200" t="s">
        <v>354</v>
      </c>
      <c r="L4" s="202" t="s">
        <v>189</v>
      </c>
      <c r="M4" s="200" t="s">
        <v>196</v>
      </c>
      <c r="N4" s="203" t="s">
        <v>197</v>
      </c>
      <c r="O4" s="193" t="s">
        <v>198</v>
      </c>
      <c r="P4" s="205" t="s">
        <v>199</v>
      </c>
      <c r="Q4" s="207" t="s">
        <v>200</v>
      </c>
      <c r="R4" s="209" t="s">
        <v>7</v>
      </c>
      <c r="S4" s="210" t="s">
        <v>355</v>
      </c>
      <c r="T4" s="204" t="s">
        <v>6</v>
      </c>
      <c r="U4" s="204" t="s">
        <v>295</v>
      </c>
      <c r="V4" s="204" t="s">
        <v>296</v>
      </c>
      <c r="W4" s="204" t="s">
        <v>8</v>
      </c>
    </row>
    <row r="5" spans="2:23" ht="45.75" customHeight="1">
      <c r="B5" s="197"/>
      <c r="C5" s="198"/>
      <c r="D5" s="199"/>
      <c r="E5" s="82">
        <v>2019</v>
      </c>
      <c r="F5" s="82">
        <v>2020</v>
      </c>
      <c r="G5" s="82">
        <v>2021</v>
      </c>
      <c r="H5" s="82">
        <v>2022</v>
      </c>
      <c r="I5" s="82">
        <v>2023</v>
      </c>
      <c r="J5" s="127" t="s">
        <v>201</v>
      </c>
      <c r="K5" s="201" t="s">
        <v>203</v>
      </c>
      <c r="L5" s="201"/>
      <c r="M5" s="201"/>
      <c r="N5" s="203"/>
      <c r="O5" s="194"/>
      <c r="P5" s="206"/>
      <c r="Q5" s="208"/>
      <c r="R5" s="209"/>
      <c r="S5" s="211" t="s">
        <v>203</v>
      </c>
      <c r="T5" s="204"/>
      <c r="U5" s="204"/>
      <c r="V5" s="204"/>
      <c r="W5" s="204"/>
    </row>
    <row r="6" spans="2:23" ht="21" customHeight="1">
      <c r="B6" s="12" t="s">
        <v>142</v>
      </c>
      <c r="C6" s="98"/>
      <c r="D6" s="99"/>
      <c r="E6" s="8">
        <v>0</v>
      </c>
      <c r="F6" s="8">
        <v>0</v>
      </c>
      <c r="G6" s="8">
        <v>0</v>
      </c>
      <c r="H6" s="8">
        <v>1</v>
      </c>
      <c r="I6" s="8">
        <v>1</v>
      </c>
      <c r="J6" s="13">
        <v>2</v>
      </c>
      <c r="K6" s="14">
        <v>2</v>
      </c>
      <c r="L6" s="8">
        <v>7</v>
      </c>
      <c r="M6" s="8">
        <v>11</v>
      </c>
      <c r="N6" s="8">
        <v>0</v>
      </c>
      <c r="O6" s="8">
        <v>0</v>
      </c>
      <c r="P6" s="8">
        <v>0</v>
      </c>
      <c r="Q6" s="8">
        <v>11</v>
      </c>
      <c r="R6" s="8">
        <v>0</v>
      </c>
      <c r="S6" s="7">
        <v>1</v>
      </c>
      <c r="T6" s="7" t="s">
        <v>339</v>
      </c>
      <c r="U6" s="7" t="s">
        <v>339</v>
      </c>
      <c r="V6" s="7" t="s">
        <v>339</v>
      </c>
      <c r="W6" s="7">
        <v>0</v>
      </c>
    </row>
    <row r="7" spans="2:23" ht="21" customHeight="1">
      <c r="B7" s="12" t="s">
        <v>92</v>
      </c>
      <c r="C7" s="98"/>
      <c r="D7" s="99"/>
      <c r="E7" s="8">
        <v>0</v>
      </c>
      <c r="F7" s="8">
        <v>0</v>
      </c>
      <c r="G7" s="8">
        <v>1</v>
      </c>
      <c r="H7" s="8">
        <v>0</v>
      </c>
      <c r="I7" s="8">
        <v>0</v>
      </c>
      <c r="J7" s="13">
        <v>1</v>
      </c>
      <c r="K7" s="14">
        <v>1</v>
      </c>
      <c r="L7" s="8">
        <v>12</v>
      </c>
      <c r="M7" s="8">
        <v>17</v>
      </c>
      <c r="N7" s="8">
        <v>12</v>
      </c>
      <c r="O7" s="8">
        <v>2</v>
      </c>
      <c r="P7" s="8">
        <v>0</v>
      </c>
      <c r="Q7" s="8">
        <v>3</v>
      </c>
      <c r="R7" s="8">
        <v>7</v>
      </c>
      <c r="S7" s="7">
        <v>1</v>
      </c>
      <c r="T7" s="7">
        <v>0.8571428571428571</v>
      </c>
      <c r="U7" s="7">
        <v>0.14285714285714285</v>
      </c>
      <c r="V7" s="7">
        <v>0</v>
      </c>
      <c r="W7" s="7">
        <v>0.58333333333333337</v>
      </c>
    </row>
    <row r="8" spans="2:23" ht="21" customHeight="1">
      <c r="B8" s="12" t="s">
        <v>204</v>
      </c>
      <c r="C8" s="98"/>
      <c r="D8" s="99"/>
      <c r="E8" s="8">
        <v>0</v>
      </c>
      <c r="F8" s="8">
        <v>0</v>
      </c>
      <c r="G8" s="8">
        <v>0</v>
      </c>
      <c r="H8" s="8">
        <v>0</v>
      </c>
      <c r="I8" s="8">
        <v>0</v>
      </c>
      <c r="J8" s="13">
        <v>0</v>
      </c>
      <c r="K8" s="14" t="s">
        <v>339</v>
      </c>
      <c r="L8" s="8" t="s">
        <v>339</v>
      </c>
      <c r="M8" s="8" t="s">
        <v>339</v>
      </c>
      <c r="N8" s="8" t="s">
        <v>339</v>
      </c>
      <c r="O8" s="8" t="s">
        <v>339</v>
      </c>
      <c r="P8" s="8" t="s">
        <v>339</v>
      </c>
      <c r="Q8" s="8" t="s">
        <v>339</v>
      </c>
      <c r="R8" s="8" t="s">
        <v>339</v>
      </c>
      <c r="S8" s="7" t="s">
        <v>339</v>
      </c>
      <c r="T8" s="7" t="s">
        <v>339</v>
      </c>
      <c r="U8" s="7" t="s">
        <v>339</v>
      </c>
      <c r="V8" s="7" t="s">
        <v>339</v>
      </c>
      <c r="W8" s="7" t="s">
        <v>339</v>
      </c>
    </row>
    <row r="9" spans="2:23" ht="21" customHeight="1">
      <c r="B9" s="15" t="s">
        <v>46</v>
      </c>
      <c r="C9" s="100"/>
      <c r="D9" s="101"/>
      <c r="E9" s="8">
        <v>1</v>
      </c>
      <c r="F9" s="8">
        <v>2</v>
      </c>
      <c r="G9" s="8">
        <v>1</v>
      </c>
      <c r="H9" s="8">
        <v>1</v>
      </c>
      <c r="I9" s="8">
        <v>1</v>
      </c>
      <c r="J9" s="13">
        <v>6</v>
      </c>
      <c r="K9" s="14">
        <v>2</v>
      </c>
      <c r="L9" s="8">
        <v>22</v>
      </c>
      <c r="M9" s="8">
        <v>16</v>
      </c>
      <c r="N9" s="8">
        <v>10</v>
      </c>
      <c r="O9" s="8">
        <v>0</v>
      </c>
      <c r="P9" s="8">
        <v>1</v>
      </c>
      <c r="Q9" s="8">
        <v>5</v>
      </c>
      <c r="R9" s="8">
        <v>2</v>
      </c>
      <c r="S9" s="7">
        <v>0.33333333333333331</v>
      </c>
      <c r="T9" s="7">
        <v>0.90909090909090906</v>
      </c>
      <c r="U9" s="7">
        <v>0</v>
      </c>
      <c r="V9" s="7">
        <v>9.0909090909090912E-2</v>
      </c>
      <c r="W9" s="7">
        <v>9.0909090909090912E-2</v>
      </c>
    </row>
    <row r="10" spans="2:23" ht="21" customHeight="1">
      <c r="B10" s="16" t="s">
        <v>31</v>
      </c>
      <c r="C10" s="102"/>
      <c r="D10" s="103"/>
      <c r="E10" s="8">
        <v>1</v>
      </c>
      <c r="F10" s="8">
        <v>1</v>
      </c>
      <c r="G10" s="8">
        <v>1</v>
      </c>
      <c r="H10" s="8">
        <v>0</v>
      </c>
      <c r="I10" s="8">
        <v>0</v>
      </c>
      <c r="J10" s="13">
        <v>3</v>
      </c>
      <c r="K10" s="14">
        <v>2</v>
      </c>
      <c r="L10" s="8">
        <v>15</v>
      </c>
      <c r="M10" s="8">
        <v>17</v>
      </c>
      <c r="N10" s="8">
        <v>6</v>
      </c>
      <c r="O10" s="8">
        <v>3</v>
      </c>
      <c r="P10" s="8">
        <v>8</v>
      </c>
      <c r="Q10" s="8">
        <v>0</v>
      </c>
      <c r="R10" s="8">
        <v>3</v>
      </c>
      <c r="S10" s="7">
        <v>0.66666666666666663</v>
      </c>
      <c r="T10" s="7">
        <v>0.35294117647058826</v>
      </c>
      <c r="U10" s="7">
        <v>0.17647058823529413</v>
      </c>
      <c r="V10" s="7">
        <v>0.47058823529411764</v>
      </c>
      <c r="W10" s="7">
        <v>0.2</v>
      </c>
    </row>
    <row r="11" spans="2:23" ht="21" customHeight="1">
      <c r="B11" s="16" t="s">
        <v>28</v>
      </c>
      <c r="C11" s="102"/>
      <c r="D11" s="103"/>
      <c r="E11" s="8">
        <v>1</v>
      </c>
      <c r="F11" s="8">
        <v>0</v>
      </c>
      <c r="G11" s="8">
        <v>0</v>
      </c>
      <c r="H11" s="8">
        <v>0</v>
      </c>
      <c r="I11" s="8">
        <v>0</v>
      </c>
      <c r="J11" s="13">
        <v>1</v>
      </c>
      <c r="K11" s="14">
        <v>1</v>
      </c>
      <c r="L11" s="8">
        <v>6</v>
      </c>
      <c r="M11" s="8">
        <v>6</v>
      </c>
      <c r="N11" s="8">
        <v>4</v>
      </c>
      <c r="O11" s="8">
        <v>1</v>
      </c>
      <c r="P11" s="8">
        <v>1</v>
      </c>
      <c r="Q11" s="8">
        <v>0</v>
      </c>
      <c r="R11" s="8">
        <v>4</v>
      </c>
      <c r="S11" s="7">
        <v>1</v>
      </c>
      <c r="T11" s="7">
        <v>0.66666666666666663</v>
      </c>
      <c r="U11" s="7">
        <v>0.16666666666666666</v>
      </c>
      <c r="V11" s="7">
        <v>0.16666666666666666</v>
      </c>
      <c r="W11" s="7">
        <v>0.66666666666666663</v>
      </c>
    </row>
    <row r="12" spans="2:23" ht="21" customHeight="1">
      <c r="B12" s="16" t="s">
        <v>16</v>
      </c>
      <c r="C12" s="102"/>
      <c r="D12" s="103"/>
      <c r="E12" s="8">
        <v>1</v>
      </c>
      <c r="F12" s="8">
        <v>1</v>
      </c>
      <c r="G12" s="8">
        <v>0</v>
      </c>
      <c r="H12" s="8">
        <v>0</v>
      </c>
      <c r="I12" s="8">
        <v>0</v>
      </c>
      <c r="J12" s="13">
        <v>2</v>
      </c>
      <c r="K12" s="14">
        <v>2</v>
      </c>
      <c r="L12" s="8">
        <v>13</v>
      </c>
      <c r="M12" s="8">
        <v>13</v>
      </c>
      <c r="N12" s="8">
        <v>5</v>
      </c>
      <c r="O12" s="8">
        <v>5</v>
      </c>
      <c r="P12" s="8">
        <v>3</v>
      </c>
      <c r="Q12" s="8">
        <v>0</v>
      </c>
      <c r="R12" s="8">
        <v>4</v>
      </c>
      <c r="S12" s="7">
        <v>1</v>
      </c>
      <c r="T12" s="7">
        <v>0.38461538461538464</v>
      </c>
      <c r="U12" s="7">
        <v>0.38461538461538464</v>
      </c>
      <c r="V12" s="7">
        <v>0.23076923076923078</v>
      </c>
      <c r="W12" s="7">
        <v>0.30769230769230771</v>
      </c>
    </row>
    <row r="13" spans="2:23" ht="21" customHeight="1">
      <c r="B13" s="16" t="s">
        <v>19</v>
      </c>
      <c r="C13" s="102"/>
      <c r="D13" s="103"/>
      <c r="E13" s="8">
        <v>1</v>
      </c>
      <c r="F13" s="8">
        <v>2</v>
      </c>
      <c r="G13" s="8">
        <v>2</v>
      </c>
      <c r="H13" s="8">
        <v>0</v>
      </c>
      <c r="I13" s="8">
        <v>0</v>
      </c>
      <c r="J13" s="13">
        <v>5</v>
      </c>
      <c r="K13" s="14">
        <v>2</v>
      </c>
      <c r="L13" s="8">
        <v>17</v>
      </c>
      <c r="M13" s="8">
        <v>19</v>
      </c>
      <c r="N13" s="8">
        <v>0</v>
      </c>
      <c r="O13" s="8">
        <v>4</v>
      </c>
      <c r="P13" s="8">
        <v>1</v>
      </c>
      <c r="Q13" s="8">
        <v>14</v>
      </c>
      <c r="R13" s="8">
        <v>0</v>
      </c>
      <c r="S13" s="7">
        <v>0.4</v>
      </c>
      <c r="T13" s="7">
        <v>0</v>
      </c>
      <c r="U13" s="7">
        <v>0.8</v>
      </c>
      <c r="V13" s="7">
        <v>0.2</v>
      </c>
      <c r="W13" s="7">
        <v>0</v>
      </c>
    </row>
    <row r="14" spans="2:23" ht="21" customHeight="1">
      <c r="B14" s="16" t="s">
        <v>12</v>
      </c>
      <c r="C14" s="102"/>
      <c r="D14" s="103"/>
      <c r="E14" s="8">
        <v>1</v>
      </c>
      <c r="F14" s="8">
        <v>1</v>
      </c>
      <c r="G14" s="8">
        <v>0</v>
      </c>
      <c r="H14" s="8">
        <v>0</v>
      </c>
      <c r="I14" s="8">
        <v>0</v>
      </c>
      <c r="J14" s="13">
        <v>2</v>
      </c>
      <c r="K14" s="14">
        <v>2</v>
      </c>
      <c r="L14" s="8">
        <v>8</v>
      </c>
      <c r="M14" s="8">
        <v>19</v>
      </c>
      <c r="N14" s="8">
        <v>11</v>
      </c>
      <c r="O14" s="8">
        <v>1</v>
      </c>
      <c r="P14" s="8">
        <v>7</v>
      </c>
      <c r="Q14" s="8">
        <v>0</v>
      </c>
      <c r="R14" s="8">
        <v>2</v>
      </c>
      <c r="S14" s="7">
        <v>1</v>
      </c>
      <c r="T14" s="7">
        <v>0.57894736842105265</v>
      </c>
      <c r="U14" s="7">
        <v>5.2631578947368418E-2</v>
      </c>
      <c r="V14" s="7">
        <v>0.36842105263157893</v>
      </c>
      <c r="W14" s="7">
        <v>0.25</v>
      </c>
    </row>
    <row r="15" spans="2:23" ht="21" customHeight="1">
      <c r="B15" s="16" t="s">
        <v>25</v>
      </c>
      <c r="C15" s="102"/>
      <c r="D15" s="103"/>
      <c r="E15" s="8">
        <v>1</v>
      </c>
      <c r="F15" s="8">
        <v>1</v>
      </c>
      <c r="G15" s="8">
        <v>0</v>
      </c>
      <c r="H15" s="8">
        <v>0</v>
      </c>
      <c r="I15" s="8">
        <v>0</v>
      </c>
      <c r="J15" s="13">
        <v>2</v>
      </c>
      <c r="K15" s="14">
        <v>2</v>
      </c>
      <c r="L15" s="8">
        <v>12</v>
      </c>
      <c r="M15" s="8">
        <v>13</v>
      </c>
      <c r="N15" s="8">
        <v>0</v>
      </c>
      <c r="O15" s="8">
        <v>5</v>
      </c>
      <c r="P15" s="8">
        <v>8</v>
      </c>
      <c r="Q15" s="8">
        <v>0</v>
      </c>
      <c r="R15" s="8">
        <v>0</v>
      </c>
      <c r="S15" s="7">
        <v>1</v>
      </c>
      <c r="T15" s="7">
        <v>0</v>
      </c>
      <c r="U15" s="7">
        <v>0.38461538461538464</v>
      </c>
      <c r="V15" s="7">
        <v>0.61538461538461542</v>
      </c>
      <c r="W15" s="7">
        <v>0</v>
      </c>
    </row>
    <row r="16" spans="2:23" ht="21" customHeight="1">
      <c r="B16" s="16" t="s">
        <v>71</v>
      </c>
      <c r="C16" s="102"/>
      <c r="D16" s="103"/>
      <c r="E16" s="8">
        <v>0</v>
      </c>
      <c r="F16" s="8">
        <v>1</v>
      </c>
      <c r="G16" s="8">
        <v>0</v>
      </c>
      <c r="H16" s="8">
        <v>0</v>
      </c>
      <c r="I16" s="8">
        <v>0</v>
      </c>
      <c r="J16" s="13">
        <v>1</v>
      </c>
      <c r="K16" s="14">
        <v>1</v>
      </c>
      <c r="L16" s="8">
        <v>4</v>
      </c>
      <c r="M16" s="8">
        <v>16</v>
      </c>
      <c r="N16" s="8">
        <v>6</v>
      </c>
      <c r="O16" s="8">
        <v>9</v>
      </c>
      <c r="P16" s="8">
        <v>1</v>
      </c>
      <c r="Q16" s="8">
        <v>0</v>
      </c>
      <c r="R16" s="8">
        <v>0</v>
      </c>
      <c r="S16" s="7">
        <v>1</v>
      </c>
      <c r="T16" s="7">
        <v>0.375</v>
      </c>
      <c r="U16" s="7">
        <v>0.5625</v>
      </c>
      <c r="V16" s="7">
        <v>6.25E-2</v>
      </c>
      <c r="W16" s="7">
        <v>0</v>
      </c>
    </row>
    <row r="17" spans="2:23" ht="21" customHeight="1">
      <c r="B17" s="16" t="s">
        <v>22</v>
      </c>
      <c r="C17" s="102"/>
      <c r="D17" s="103"/>
      <c r="E17" s="8">
        <v>1</v>
      </c>
      <c r="F17" s="8">
        <v>1</v>
      </c>
      <c r="G17" s="8">
        <v>0</v>
      </c>
      <c r="H17" s="8">
        <v>1</v>
      </c>
      <c r="I17" s="8">
        <v>1</v>
      </c>
      <c r="J17" s="13">
        <v>4</v>
      </c>
      <c r="K17" s="14">
        <v>2</v>
      </c>
      <c r="L17" s="8">
        <v>14</v>
      </c>
      <c r="M17" s="8">
        <v>20</v>
      </c>
      <c r="N17" s="8">
        <v>0</v>
      </c>
      <c r="O17" s="8">
        <v>4</v>
      </c>
      <c r="P17" s="8">
        <v>16</v>
      </c>
      <c r="Q17" s="8">
        <v>0</v>
      </c>
      <c r="R17" s="8">
        <v>0</v>
      </c>
      <c r="S17" s="7">
        <v>0.5</v>
      </c>
      <c r="T17" s="7">
        <v>0</v>
      </c>
      <c r="U17" s="7">
        <v>0.2</v>
      </c>
      <c r="V17" s="7">
        <v>0.8</v>
      </c>
      <c r="W17" s="7">
        <v>0</v>
      </c>
    </row>
    <row r="18" spans="2:23" ht="21" customHeight="1">
      <c r="B18" s="16" t="s">
        <v>85</v>
      </c>
      <c r="C18" s="102"/>
      <c r="D18" s="103"/>
      <c r="E18" s="8">
        <v>0</v>
      </c>
      <c r="F18" s="8">
        <v>1</v>
      </c>
      <c r="G18" s="8">
        <v>0</v>
      </c>
      <c r="H18" s="8">
        <v>0</v>
      </c>
      <c r="I18" s="8">
        <v>0</v>
      </c>
      <c r="J18" s="13">
        <v>1</v>
      </c>
      <c r="K18" s="14">
        <v>1</v>
      </c>
      <c r="L18" s="8">
        <v>6</v>
      </c>
      <c r="M18" s="8">
        <v>5</v>
      </c>
      <c r="N18" s="8">
        <v>4</v>
      </c>
      <c r="O18" s="8">
        <v>1</v>
      </c>
      <c r="P18" s="8">
        <v>0</v>
      </c>
      <c r="Q18" s="8">
        <v>0</v>
      </c>
      <c r="R18" s="8">
        <v>4</v>
      </c>
      <c r="S18" s="7">
        <v>1</v>
      </c>
      <c r="T18" s="7">
        <v>0.8</v>
      </c>
      <c r="U18" s="7">
        <v>0.2</v>
      </c>
      <c r="V18" s="7">
        <v>0</v>
      </c>
      <c r="W18" s="7">
        <v>0.66666666666666663</v>
      </c>
    </row>
    <row r="19" spans="2:23" ht="21" customHeight="1">
      <c r="B19" s="16" t="s">
        <v>128</v>
      </c>
      <c r="C19" s="102"/>
      <c r="D19" s="103"/>
      <c r="E19" s="8">
        <v>0</v>
      </c>
      <c r="F19" s="8">
        <v>0</v>
      </c>
      <c r="G19" s="8">
        <v>1</v>
      </c>
      <c r="H19" s="8">
        <v>2</v>
      </c>
      <c r="I19" s="8">
        <v>0</v>
      </c>
      <c r="J19" s="13">
        <v>3</v>
      </c>
      <c r="K19" s="14">
        <v>2</v>
      </c>
      <c r="L19" s="8">
        <v>3</v>
      </c>
      <c r="M19" s="8">
        <v>20</v>
      </c>
      <c r="N19" s="8">
        <v>3</v>
      </c>
      <c r="O19" s="8">
        <v>9</v>
      </c>
      <c r="P19" s="8">
        <v>0</v>
      </c>
      <c r="Q19" s="8">
        <v>8</v>
      </c>
      <c r="R19" s="8">
        <v>0</v>
      </c>
      <c r="S19" s="7">
        <v>0.66666666666666663</v>
      </c>
      <c r="T19" s="7">
        <v>0.25</v>
      </c>
      <c r="U19" s="7">
        <v>0.75</v>
      </c>
      <c r="V19" s="7">
        <v>0</v>
      </c>
      <c r="W19" s="7">
        <v>0</v>
      </c>
    </row>
    <row r="20" spans="2:23" ht="21" customHeight="1">
      <c r="B20" s="17" t="s">
        <v>67</v>
      </c>
      <c r="C20" s="104"/>
      <c r="D20" s="105"/>
      <c r="E20" s="8">
        <v>0</v>
      </c>
      <c r="F20" s="8">
        <v>2</v>
      </c>
      <c r="G20" s="8">
        <v>2</v>
      </c>
      <c r="H20" s="8">
        <v>0</v>
      </c>
      <c r="I20" s="8">
        <v>1</v>
      </c>
      <c r="J20" s="13">
        <v>5</v>
      </c>
      <c r="K20" s="14">
        <v>4</v>
      </c>
      <c r="L20" s="8">
        <v>40</v>
      </c>
      <c r="M20" s="8">
        <v>34</v>
      </c>
      <c r="N20" s="8">
        <v>4</v>
      </c>
      <c r="O20" s="8">
        <v>5</v>
      </c>
      <c r="P20" s="8">
        <v>9</v>
      </c>
      <c r="Q20" s="8">
        <v>16</v>
      </c>
      <c r="R20" s="8">
        <v>12</v>
      </c>
      <c r="S20" s="7">
        <v>0.8</v>
      </c>
      <c r="T20" s="7">
        <v>0.22222222222222221</v>
      </c>
      <c r="U20" s="7">
        <v>0.27777777777777779</v>
      </c>
      <c r="V20" s="7">
        <v>0.5</v>
      </c>
      <c r="W20" s="7">
        <v>0.3</v>
      </c>
    </row>
    <row r="21" spans="2:23" ht="21" customHeight="1">
      <c r="B21" s="17" t="s">
        <v>36</v>
      </c>
      <c r="C21" s="104"/>
      <c r="D21" s="105"/>
      <c r="E21" s="8">
        <v>2</v>
      </c>
      <c r="F21" s="8">
        <v>1</v>
      </c>
      <c r="G21" s="8">
        <v>4</v>
      </c>
      <c r="H21" s="8">
        <v>3</v>
      </c>
      <c r="I21" s="8">
        <v>7</v>
      </c>
      <c r="J21" s="13">
        <v>17</v>
      </c>
      <c r="K21" s="14">
        <v>3</v>
      </c>
      <c r="L21" s="8">
        <v>109</v>
      </c>
      <c r="M21" s="8">
        <v>28</v>
      </c>
      <c r="N21" s="8">
        <v>2</v>
      </c>
      <c r="O21" s="8">
        <v>15</v>
      </c>
      <c r="P21" s="8">
        <v>9</v>
      </c>
      <c r="Q21" s="8">
        <v>2</v>
      </c>
      <c r="R21" s="8">
        <v>1</v>
      </c>
      <c r="S21" s="7">
        <v>0.17647058823529413</v>
      </c>
      <c r="T21" s="7">
        <v>7.6923076923076927E-2</v>
      </c>
      <c r="U21" s="7">
        <v>0.57692307692307687</v>
      </c>
      <c r="V21" s="7">
        <v>0.34615384615384615</v>
      </c>
      <c r="W21" s="7">
        <v>9.1743119266055051E-3</v>
      </c>
    </row>
    <row r="22" spans="2:23" ht="21" customHeight="1">
      <c r="B22" s="17" t="s">
        <v>106</v>
      </c>
      <c r="C22" s="104"/>
      <c r="D22" s="105"/>
      <c r="E22" s="8">
        <v>0</v>
      </c>
      <c r="F22" s="8">
        <v>0</v>
      </c>
      <c r="G22" s="8">
        <v>1</v>
      </c>
      <c r="H22" s="8">
        <v>0</v>
      </c>
      <c r="I22" s="8">
        <v>4</v>
      </c>
      <c r="J22" s="13">
        <v>5</v>
      </c>
      <c r="K22" s="14">
        <v>1</v>
      </c>
      <c r="L22" s="8">
        <v>16</v>
      </c>
      <c r="M22" s="8">
        <v>6</v>
      </c>
      <c r="N22" s="8">
        <v>0</v>
      </c>
      <c r="O22" s="8">
        <v>0</v>
      </c>
      <c r="P22" s="8">
        <v>0</v>
      </c>
      <c r="Q22" s="8">
        <v>6</v>
      </c>
      <c r="R22" s="8">
        <v>0</v>
      </c>
      <c r="S22" s="7">
        <v>0.2</v>
      </c>
      <c r="T22" s="7" t="s">
        <v>339</v>
      </c>
      <c r="U22" s="7" t="s">
        <v>339</v>
      </c>
      <c r="V22" s="7" t="s">
        <v>339</v>
      </c>
      <c r="W22" s="7">
        <v>0</v>
      </c>
    </row>
    <row r="23" spans="2:23" ht="21" customHeight="1">
      <c r="B23" s="17" t="s">
        <v>41</v>
      </c>
      <c r="C23" s="104"/>
      <c r="D23" s="105"/>
      <c r="E23" s="8">
        <v>1</v>
      </c>
      <c r="F23" s="8">
        <v>2</v>
      </c>
      <c r="G23" s="8">
        <v>4</v>
      </c>
      <c r="H23" s="8">
        <v>4</v>
      </c>
      <c r="I23" s="8">
        <v>1</v>
      </c>
      <c r="J23" s="13">
        <v>12</v>
      </c>
      <c r="K23" s="14">
        <v>4</v>
      </c>
      <c r="L23" s="8">
        <v>46</v>
      </c>
      <c r="M23" s="8">
        <v>40</v>
      </c>
      <c r="N23" s="8">
        <v>0</v>
      </c>
      <c r="O23" s="8">
        <v>3</v>
      </c>
      <c r="P23" s="8">
        <v>11</v>
      </c>
      <c r="Q23" s="8">
        <v>26</v>
      </c>
      <c r="R23" s="8">
        <v>0</v>
      </c>
      <c r="S23" s="7">
        <v>0.33333333333333331</v>
      </c>
      <c r="T23" s="7">
        <v>0</v>
      </c>
      <c r="U23" s="7">
        <v>0.21428571428571427</v>
      </c>
      <c r="V23" s="7">
        <v>0.7857142857142857</v>
      </c>
      <c r="W23" s="7">
        <v>0</v>
      </c>
    </row>
    <row r="24" spans="2:23" ht="21" customHeight="1">
      <c r="B24" s="17" t="s">
        <v>55</v>
      </c>
      <c r="C24" s="104"/>
      <c r="D24" s="105"/>
      <c r="E24" s="8">
        <v>1</v>
      </c>
      <c r="F24" s="8">
        <v>0</v>
      </c>
      <c r="G24" s="8">
        <v>1</v>
      </c>
      <c r="H24" s="8">
        <v>0</v>
      </c>
      <c r="I24" s="8">
        <v>0</v>
      </c>
      <c r="J24" s="13">
        <v>2</v>
      </c>
      <c r="K24" s="14">
        <v>1</v>
      </c>
      <c r="L24" s="8">
        <v>8</v>
      </c>
      <c r="M24" s="8">
        <v>15</v>
      </c>
      <c r="N24" s="8">
        <v>0</v>
      </c>
      <c r="O24" s="8">
        <v>0</v>
      </c>
      <c r="P24" s="8">
        <v>0</v>
      </c>
      <c r="Q24" s="8">
        <v>15</v>
      </c>
      <c r="R24" s="8">
        <v>0</v>
      </c>
      <c r="S24" s="7">
        <v>0.5</v>
      </c>
      <c r="T24" s="7" t="s">
        <v>339</v>
      </c>
      <c r="U24" s="7" t="s">
        <v>339</v>
      </c>
      <c r="V24" s="7" t="s">
        <v>339</v>
      </c>
      <c r="W24" s="7">
        <v>0</v>
      </c>
    </row>
    <row r="25" spans="2:23" ht="21" customHeight="1">
      <c r="B25" s="17" t="s">
        <v>186</v>
      </c>
      <c r="C25" s="104"/>
      <c r="D25" s="105"/>
      <c r="E25" s="8">
        <v>0</v>
      </c>
      <c r="F25" s="8">
        <v>0</v>
      </c>
      <c r="G25" s="8">
        <v>0</v>
      </c>
      <c r="H25" s="8">
        <v>0</v>
      </c>
      <c r="I25" s="8">
        <v>1</v>
      </c>
      <c r="J25" s="13">
        <v>1</v>
      </c>
      <c r="K25" s="14">
        <v>0</v>
      </c>
      <c r="L25" s="8">
        <v>9</v>
      </c>
      <c r="M25" s="8">
        <v>0</v>
      </c>
      <c r="N25" s="8">
        <v>0</v>
      </c>
      <c r="O25" s="8">
        <v>0</v>
      </c>
      <c r="P25" s="8">
        <v>0</v>
      </c>
      <c r="Q25" s="8">
        <v>0</v>
      </c>
      <c r="R25" s="8">
        <v>0</v>
      </c>
      <c r="S25" s="7">
        <v>0</v>
      </c>
      <c r="T25" s="7" t="s">
        <v>339</v>
      </c>
      <c r="U25" s="7" t="s">
        <v>339</v>
      </c>
      <c r="V25" s="7" t="s">
        <v>339</v>
      </c>
      <c r="W25" s="7">
        <v>0</v>
      </c>
    </row>
    <row r="26" spans="2:23" ht="21" customHeight="1">
      <c r="B26" s="17" t="s">
        <v>51</v>
      </c>
      <c r="C26" s="104"/>
      <c r="D26" s="105"/>
      <c r="E26" s="8">
        <v>1</v>
      </c>
      <c r="F26" s="8">
        <v>0</v>
      </c>
      <c r="G26" s="8">
        <v>1</v>
      </c>
      <c r="H26" s="8">
        <v>0</v>
      </c>
      <c r="I26" s="8">
        <v>0</v>
      </c>
      <c r="J26" s="13">
        <v>2</v>
      </c>
      <c r="K26" s="14">
        <v>2</v>
      </c>
      <c r="L26" s="8">
        <v>10</v>
      </c>
      <c r="M26" s="8">
        <v>23</v>
      </c>
      <c r="N26" s="8">
        <v>5</v>
      </c>
      <c r="O26" s="8">
        <v>6</v>
      </c>
      <c r="P26" s="8">
        <v>12</v>
      </c>
      <c r="Q26" s="8">
        <v>0</v>
      </c>
      <c r="R26" s="8">
        <v>2</v>
      </c>
      <c r="S26" s="7">
        <v>1</v>
      </c>
      <c r="T26" s="7">
        <v>0.21739130434782608</v>
      </c>
      <c r="U26" s="7">
        <v>0.2608695652173913</v>
      </c>
      <c r="V26" s="7">
        <v>0.52173913043478259</v>
      </c>
      <c r="W26" s="7">
        <v>0.2</v>
      </c>
    </row>
    <row r="27" spans="2:23" ht="21" customHeight="1">
      <c r="B27" s="17" t="s">
        <v>205</v>
      </c>
      <c r="C27" s="104"/>
      <c r="D27" s="105"/>
      <c r="E27" s="8">
        <v>0</v>
      </c>
      <c r="F27" s="8">
        <v>0</v>
      </c>
      <c r="G27" s="8">
        <v>0</v>
      </c>
      <c r="H27" s="8">
        <v>0</v>
      </c>
      <c r="I27" s="8">
        <v>0</v>
      </c>
      <c r="J27" s="13">
        <v>0</v>
      </c>
      <c r="K27" s="14" t="s">
        <v>339</v>
      </c>
      <c r="L27" s="8" t="s">
        <v>339</v>
      </c>
      <c r="M27" s="8" t="s">
        <v>339</v>
      </c>
      <c r="N27" s="8" t="s">
        <v>339</v>
      </c>
      <c r="O27" s="8" t="s">
        <v>339</v>
      </c>
      <c r="P27" s="8" t="s">
        <v>339</v>
      </c>
      <c r="Q27" s="8" t="s">
        <v>339</v>
      </c>
      <c r="R27" s="8" t="s">
        <v>339</v>
      </c>
      <c r="S27" s="7" t="s">
        <v>339</v>
      </c>
      <c r="T27" s="7" t="s">
        <v>339</v>
      </c>
      <c r="U27" s="7" t="s">
        <v>339</v>
      </c>
      <c r="V27" s="7" t="s">
        <v>339</v>
      </c>
      <c r="W27" s="7" t="s">
        <v>339</v>
      </c>
    </row>
    <row r="28" spans="2:23" ht="21" customHeight="1">
      <c r="B28" s="18" t="s">
        <v>206</v>
      </c>
      <c r="C28" s="106"/>
      <c r="D28" s="107"/>
      <c r="E28" s="8">
        <v>0</v>
      </c>
      <c r="F28" s="8">
        <v>0</v>
      </c>
      <c r="G28" s="8">
        <v>0</v>
      </c>
      <c r="H28" s="8">
        <v>0</v>
      </c>
      <c r="I28" s="8">
        <v>0</v>
      </c>
      <c r="J28" s="13">
        <v>0</v>
      </c>
      <c r="K28" s="14" t="s">
        <v>339</v>
      </c>
      <c r="L28" s="8" t="s">
        <v>339</v>
      </c>
      <c r="M28" s="8" t="s">
        <v>339</v>
      </c>
      <c r="N28" s="8" t="s">
        <v>339</v>
      </c>
      <c r="O28" s="8" t="s">
        <v>339</v>
      </c>
      <c r="P28" s="8" t="s">
        <v>339</v>
      </c>
      <c r="Q28" s="8" t="s">
        <v>339</v>
      </c>
      <c r="R28" s="8" t="s">
        <v>339</v>
      </c>
      <c r="S28" s="7" t="s">
        <v>339</v>
      </c>
      <c r="T28" s="7" t="s">
        <v>339</v>
      </c>
      <c r="U28" s="7" t="s">
        <v>339</v>
      </c>
      <c r="V28" s="7" t="s">
        <v>339</v>
      </c>
      <c r="W28" s="7" t="s">
        <v>339</v>
      </c>
    </row>
    <row r="29" spans="2:23" ht="21" customHeight="1">
      <c r="B29" s="19" t="s">
        <v>118</v>
      </c>
      <c r="C29" s="108"/>
      <c r="D29" s="109"/>
      <c r="E29" s="8">
        <v>0</v>
      </c>
      <c r="F29" s="8">
        <v>0</v>
      </c>
      <c r="G29" s="8">
        <v>1</v>
      </c>
      <c r="H29" s="8">
        <v>0</v>
      </c>
      <c r="I29" s="8">
        <v>1</v>
      </c>
      <c r="J29" s="13">
        <v>2</v>
      </c>
      <c r="K29" s="14">
        <v>1</v>
      </c>
      <c r="L29" s="8">
        <v>4</v>
      </c>
      <c r="M29" s="8">
        <v>12</v>
      </c>
      <c r="N29" s="8">
        <v>0</v>
      </c>
      <c r="O29" s="8">
        <v>4</v>
      </c>
      <c r="P29" s="8">
        <v>8</v>
      </c>
      <c r="Q29" s="8">
        <v>0</v>
      </c>
      <c r="R29" s="8">
        <v>0</v>
      </c>
      <c r="S29" s="7">
        <v>0.5</v>
      </c>
      <c r="T29" s="7">
        <v>0</v>
      </c>
      <c r="U29" s="7">
        <v>0.33333333333333331</v>
      </c>
      <c r="V29" s="7">
        <v>0.66666666666666663</v>
      </c>
      <c r="W29" s="7">
        <v>0</v>
      </c>
    </row>
    <row r="30" spans="2:23" ht="21" customHeight="1">
      <c r="B30" s="19" t="s">
        <v>163</v>
      </c>
      <c r="C30" s="108"/>
      <c r="D30" s="109"/>
      <c r="E30" s="8">
        <v>0</v>
      </c>
      <c r="F30" s="8">
        <v>0</v>
      </c>
      <c r="G30" s="8">
        <v>0</v>
      </c>
      <c r="H30" s="8">
        <v>0</v>
      </c>
      <c r="I30" s="8">
        <v>3</v>
      </c>
      <c r="J30" s="13">
        <v>3</v>
      </c>
      <c r="K30" s="14">
        <v>0</v>
      </c>
      <c r="L30" s="8">
        <v>18</v>
      </c>
      <c r="M30" s="8">
        <v>0</v>
      </c>
      <c r="N30" s="8">
        <v>0</v>
      </c>
      <c r="O30" s="8">
        <v>0</v>
      </c>
      <c r="P30" s="8">
        <v>0</v>
      </c>
      <c r="Q30" s="8">
        <v>0</v>
      </c>
      <c r="R30" s="8">
        <v>0</v>
      </c>
      <c r="S30" s="7">
        <v>0</v>
      </c>
      <c r="T30" s="7" t="s">
        <v>339</v>
      </c>
      <c r="U30" s="7" t="s">
        <v>339</v>
      </c>
      <c r="V30" s="7" t="s">
        <v>339</v>
      </c>
      <c r="W30" s="7">
        <v>0</v>
      </c>
    </row>
    <row r="31" spans="2:23" ht="21" customHeight="1">
      <c r="B31" s="19" t="s">
        <v>152</v>
      </c>
      <c r="C31" s="108"/>
      <c r="D31" s="109"/>
      <c r="E31" s="8">
        <v>0</v>
      </c>
      <c r="F31" s="8">
        <v>0</v>
      </c>
      <c r="G31" s="8">
        <v>0</v>
      </c>
      <c r="H31" s="8">
        <v>1</v>
      </c>
      <c r="I31" s="8">
        <v>0</v>
      </c>
      <c r="J31" s="13">
        <v>1</v>
      </c>
      <c r="K31" s="14">
        <v>0</v>
      </c>
      <c r="L31" s="8">
        <v>5</v>
      </c>
      <c r="M31" s="8">
        <v>0</v>
      </c>
      <c r="N31" s="8">
        <v>0</v>
      </c>
      <c r="O31" s="8">
        <v>0</v>
      </c>
      <c r="P31" s="8">
        <v>0</v>
      </c>
      <c r="Q31" s="8">
        <v>0</v>
      </c>
      <c r="R31" s="8">
        <v>0</v>
      </c>
      <c r="S31" s="7">
        <v>0</v>
      </c>
      <c r="T31" s="7" t="s">
        <v>339</v>
      </c>
      <c r="U31" s="7" t="s">
        <v>339</v>
      </c>
      <c r="V31" s="7" t="s">
        <v>339</v>
      </c>
      <c r="W31" s="7">
        <v>0</v>
      </c>
    </row>
    <row r="32" spans="2:23" ht="24" customHeight="1">
      <c r="B32" s="80" t="s">
        <v>201</v>
      </c>
      <c r="C32" s="110"/>
      <c r="D32" s="111"/>
      <c r="E32" s="81">
        <v>13</v>
      </c>
      <c r="F32" s="81">
        <v>16</v>
      </c>
      <c r="G32" s="81">
        <v>20</v>
      </c>
      <c r="H32" s="81">
        <v>13</v>
      </c>
      <c r="I32" s="81">
        <v>21</v>
      </c>
      <c r="J32" s="81">
        <v>83</v>
      </c>
      <c r="K32" s="78">
        <v>38</v>
      </c>
      <c r="L32" s="78">
        <v>404</v>
      </c>
      <c r="M32" s="78">
        <v>350</v>
      </c>
      <c r="N32" s="78">
        <v>72</v>
      </c>
      <c r="O32" s="78">
        <v>77</v>
      </c>
      <c r="P32" s="78">
        <v>95</v>
      </c>
      <c r="Q32" s="78">
        <v>106</v>
      </c>
      <c r="R32" s="78">
        <v>41</v>
      </c>
      <c r="S32" s="79">
        <v>0.45783132530120479</v>
      </c>
      <c r="T32" s="79">
        <v>0.29508196721311475</v>
      </c>
      <c r="U32" s="79">
        <v>0.3155737704918033</v>
      </c>
      <c r="V32" s="79">
        <v>0.38934426229508196</v>
      </c>
      <c r="W32" s="79">
        <v>0.10148514851485149</v>
      </c>
    </row>
  </sheetData>
  <mergeCells count="15">
    <mergeCell ref="N4:N5"/>
    <mergeCell ref="B4:D5"/>
    <mergeCell ref="E4:J4"/>
    <mergeCell ref="K4:K5"/>
    <mergeCell ref="L4:L5"/>
    <mergeCell ref="M4:M5"/>
    <mergeCell ref="U4:U5"/>
    <mergeCell ref="V4:V5"/>
    <mergeCell ref="W4:W5"/>
    <mergeCell ref="O4:O5"/>
    <mergeCell ref="P4:P5"/>
    <mergeCell ref="Q4:Q5"/>
    <mergeCell ref="R4:R5"/>
    <mergeCell ref="S4:S5"/>
    <mergeCell ref="T4:T5"/>
  </mergeCells>
  <conditionalFormatting sqref="E6:I31">
    <cfRule type="cellIs" dxfId="3" priority="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X32"/>
  <sheetViews>
    <sheetView showGridLines="0" topLeftCell="A10" zoomScale="70" zoomScaleNormal="70" workbookViewId="0">
      <selection activeCell="B2" sqref="B2"/>
    </sheetView>
  </sheetViews>
  <sheetFormatPr baseColWidth="10" defaultColWidth="11.44140625" defaultRowHeight="13.8"/>
  <cols>
    <col min="1" max="1" width="1" style="96" customWidth="1"/>
    <col min="2" max="3" width="16.109375" style="96" customWidth="1"/>
    <col min="4" max="4" width="17.109375" style="96" customWidth="1"/>
    <col min="5" max="10" width="12.6640625" style="96" customWidth="1"/>
    <col min="11" max="11" width="22.109375" style="96" bestFit="1" customWidth="1"/>
    <col min="12" max="13" width="15.6640625" style="96" customWidth="1"/>
    <col min="14" max="14" width="16.6640625" style="96" bestFit="1" customWidth="1"/>
    <col min="15" max="20" width="15.6640625" style="96" customWidth="1"/>
    <col min="21" max="21" width="16.6640625" style="96" bestFit="1" customWidth="1"/>
    <col min="22" max="22" width="17.44140625" style="96" bestFit="1" customWidth="1"/>
    <col min="23" max="24" width="15.6640625" style="96" customWidth="1"/>
    <col min="25" max="16384" width="11.44140625" style="96"/>
  </cols>
  <sheetData>
    <row r="2" spans="2:24" ht="20.399999999999999">
      <c r="B2" s="95" t="s">
        <v>353</v>
      </c>
    </row>
    <row r="3" spans="2:24" ht="9" customHeight="1"/>
    <row r="4" spans="2:24" ht="45.75" customHeight="1">
      <c r="B4" s="195" t="s">
        <v>5</v>
      </c>
      <c r="C4" s="196"/>
      <c r="D4" s="196"/>
      <c r="E4" s="212" t="s">
        <v>350</v>
      </c>
      <c r="F4" s="213"/>
      <c r="G4" s="213"/>
      <c r="H4" s="213"/>
      <c r="I4" s="213"/>
      <c r="J4" s="214"/>
      <c r="K4" s="202" t="s">
        <v>461</v>
      </c>
      <c r="L4" s="209" t="s">
        <v>365</v>
      </c>
      <c r="M4" s="209"/>
      <c r="N4" s="200" t="s">
        <v>460</v>
      </c>
      <c r="O4" s="203" t="s">
        <v>363</v>
      </c>
      <c r="P4" s="203"/>
      <c r="Q4" s="216" t="s">
        <v>362</v>
      </c>
      <c r="R4" s="216"/>
      <c r="S4" s="215" t="s">
        <v>361</v>
      </c>
      <c r="T4" s="215"/>
      <c r="U4" s="200" t="s">
        <v>462</v>
      </c>
      <c r="V4" s="200" t="s">
        <v>463</v>
      </c>
      <c r="W4" s="212" t="s">
        <v>366</v>
      </c>
      <c r="X4" s="214"/>
    </row>
    <row r="5" spans="2:24" ht="25.5" customHeight="1">
      <c r="B5" s="197"/>
      <c r="C5" s="198"/>
      <c r="D5" s="199"/>
      <c r="E5" s="82">
        <v>2019</v>
      </c>
      <c r="F5" s="82">
        <v>2020</v>
      </c>
      <c r="G5" s="82">
        <v>2021</v>
      </c>
      <c r="H5" s="82">
        <v>2022</v>
      </c>
      <c r="I5" s="82">
        <v>2023</v>
      </c>
      <c r="J5" s="85" t="s">
        <v>201</v>
      </c>
      <c r="K5" s="201"/>
      <c r="L5" s="142" t="s">
        <v>203</v>
      </c>
      <c r="M5" s="143" t="s">
        <v>364</v>
      </c>
      <c r="N5" s="201"/>
      <c r="O5" s="142" t="s">
        <v>203</v>
      </c>
      <c r="P5" s="143" t="s">
        <v>364</v>
      </c>
      <c r="Q5" s="142" t="s">
        <v>203</v>
      </c>
      <c r="R5" s="143" t="s">
        <v>364</v>
      </c>
      <c r="S5" s="142" t="s">
        <v>203</v>
      </c>
      <c r="T5" s="143" t="s">
        <v>364</v>
      </c>
      <c r="U5" s="201"/>
      <c r="V5" s="201"/>
      <c r="W5" s="142" t="s">
        <v>203</v>
      </c>
      <c r="X5" s="143" t="s">
        <v>364</v>
      </c>
    </row>
    <row r="6" spans="2:24" ht="21" customHeight="1">
      <c r="B6" s="12" t="s">
        <v>142</v>
      </c>
      <c r="C6" s="98"/>
      <c r="D6" s="99"/>
      <c r="E6" s="8">
        <f>COUNTIFS('Auditorías Riesgos 2019-2023'!B:B,$E$5,'Auditorías Riesgos 2019-2023'!H:H,B6)</f>
        <v>0</v>
      </c>
      <c r="F6" s="8">
        <f>COUNTIFS('Auditorías Riesgos 2019-2023'!B:B,$F$5,'Auditorías Riesgos 2019-2023'!H:H,B6)</f>
        <v>0</v>
      </c>
      <c r="G6" s="8">
        <f>COUNTIFS('Auditorías Riesgos 2019-2023'!B:B,$G$5,'Auditorías Riesgos 2019-2023'!H:H,B6)</f>
        <v>0</v>
      </c>
      <c r="H6" s="8">
        <f>COUNTIFS('Auditorías Riesgos 2019-2023'!B:B,$H$5,'Auditorías Riesgos 2019-2023'!H:H,B6)</f>
        <v>0</v>
      </c>
      <c r="I6" s="8">
        <f>COUNTIFS('Auditorías Riesgos 2019-2023'!B:B,$I$5,'Auditorías Riesgos 2019-2023'!H:H,B6)</f>
        <v>1</v>
      </c>
      <c r="J6" s="13">
        <f>SUM(E6:I6)</f>
        <v>1</v>
      </c>
      <c r="K6" s="8">
        <f>IF(J6=0,"-",IF(J6&lt;&gt;0,SUMIF('Auditorías Riesgos 2019-2023'!H:H,B6,'Auditorías Riesgos 2019-2023'!K:K)))</f>
        <v>3</v>
      </c>
      <c r="L6" s="140">
        <f>IF(J6=0,"-",IF(J6&lt;&gt;0,COUNTIFS('Auditorías Riesgos 2019-2023'!H:H,B6,'Auditorías Riesgos 2019-2023'!L:L,"SI")))</f>
        <v>1</v>
      </c>
      <c r="M6" s="148">
        <f t="shared" ref="M6:M32" si="0">IFERROR(L6/J6,"-")</f>
        <v>1</v>
      </c>
      <c r="N6" s="8">
        <f>IF(J6=0,"-",IF(J6&lt;&gt;0,SUMIF('Auditorías Riesgos 2019-2023'!H:H,B6,'Auditorías Riesgos 2019-2023'!O:O)))</f>
        <v>6</v>
      </c>
      <c r="O6" s="151">
        <f>IF(J6=0,"-",IF(J6&lt;&gt;0,SUMIF('Auditorías Riesgos 2019-2023'!H:H,B6,'Auditorías Riesgos 2019-2023'!P:P)))</f>
        <v>0</v>
      </c>
      <c r="P6" s="148" t="str">
        <f t="shared" ref="P6:P32" si="1">IFERROR(O6/SUM(O6,Q6,S6),"-")</f>
        <v>-</v>
      </c>
      <c r="Q6" s="151">
        <f>IF(J6=0,"-",IF(J6&lt;&gt;0,SUMIF('Auditorías Riesgos 2019-2023'!H:H,B6,'Auditorías Riesgos 2019-2023'!Q:Q)))</f>
        <v>0</v>
      </c>
      <c r="R6" s="148" t="str">
        <f t="shared" ref="R6:R32" si="2">IFERROR(Q6/SUM(O6,Q6,S6),"-")</f>
        <v>-</v>
      </c>
      <c r="S6" s="151">
        <f>IF(J6=0,"-",IF(J6&lt;&gt;0,SUMIF('Auditorías Riesgos 2019-2023'!H:H,B6,'Auditorías Riesgos 2019-2023'!R:R)))</f>
        <v>0</v>
      </c>
      <c r="T6" s="148" t="str">
        <f t="shared" ref="T6:T32" si="3">IFERROR(S6/SUM(O6,Q6,S6),"-")</f>
        <v>-</v>
      </c>
      <c r="U6" s="8">
        <f>IF(J6=0,"-",IF(J6&lt;&gt;0,SUMIF('Auditorías Riesgos 2019-2023'!H:H,B6,'Auditorías Riesgos 2019-2023'!S:S)))</f>
        <v>6</v>
      </c>
      <c r="V6" s="8">
        <f t="shared" ref="V6:V31" si="4">IF(J6=0,"-",IFERROR(SUM(O6,Q6,S6),"-"))</f>
        <v>0</v>
      </c>
      <c r="W6" s="151">
        <f>IF(J6=0,"-",IF(J6&lt;&gt;0,SUMIF('Auditorías Riesgos 2019-2023'!H:H,B6,'Auditorías Riesgos 2019-2023'!T:T)))</f>
        <v>0</v>
      </c>
      <c r="X6" s="148">
        <f t="shared" ref="X6:X32" si="5">IFERROR(W6/K6,"-")</f>
        <v>0</v>
      </c>
    </row>
    <row r="7" spans="2:24" ht="21" customHeight="1">
      <c r="B7" s="12" t="s">
        <v>92</v>
      </c>
      <c r="C7" s="98"/>
      <c r="D7" s="99"/>
      <c r="E7" s="8">
        <f>COUNTIFS('Auditorías Riesgos 2019-2023'!B:B,$E$5,'Auditorías Riesgos 2019-2023'!H:H,B7)</f>
        <v>0</v>
      </c>
      <c r="F7" s="8">
        <f>COUNTIFS('Auditorías Riesgos 2019-2023'!B:B,$F$5,'Auditorías Riesgos 2019-2023'!H:H,B7)</f>
        <v>0</v>
      </c>
      <c r="G7" s="8">
        <f>COUNTIFS('Auditorías Riesgos 2019-2023'!B:B,$G$5,'Auditorías Riesgos 2019-2023'!H:H,B7)</f>
        <v>1</v>
      </c>
      <c r="H7" s="8">
        <f>COUNTIFS('Auditorías Riesgos 2019-2023'!B:B,$H$5,'Auditorías Riesgos 2019-2023'!H:H,B7)</f>
        <v>1</v>
      </c>
      <c r="I7" s="8">
        <f>COUNTIFS('Auditorías Riesgos 2019-2023'!B:B,$I$5,'Auditorías Riesgos 2019-2023'!H:H,B7)</f>
        <v>0</v>
      </c>
      <c r="J7" s="13">
        <f t="shared" ref="J7:J12" si="6">SUM(E7:I7)</f>
        <v>2</v>
      </c>
      <c r="K7" s="8">
        <f>IF(J7=0,"-",IF(J7&lt;&gt;0,SUMIF('Auditorías Riesgos 2019-2023'!H:H,B7,'Auditorías Riesgos 2019-2023'!K:K)))</f>
        <v>16</v>
      </c>
      <c r="L7" s="140">
        <f>IF(J7=0,"-",IF(J7&lt;&gt;0,COUNTIFS('Auditorías Riesgos 2019-2023'!H:H,B7,'Auditorías Riesgos 2019-2023'!L:L,"SI")))</f>
        <v>2</v>
      </c>
      <c r="M7" s="148">
        <f t="shared" si="0"/>
        <v>1</v>
      </c>
      <c r="N7" s="8">
        <f>IF(J7=0,"-",IF(J7&lt;&gt;0,SUMIF('Auditorías Riesgos 2019-2023'!H:H,B7,'Auditorías Riesgos 2019-2023'!O:O)))</f>
        <v>22</v>
      </c>
      <c r="O7" s="151">
        <f>IF(J7=0,"-",IF(J7&lt;&gt;0,SUMIF('Auditorías Riesgos 2019-2023'!H:H,B7,'Auditorías Riesgos 2019-2023'!P:P)))</f>
        <v>12</v>
      </c>
      <c r="P7" s="148">
        <f t="shared" si="1"/>
        <v>0.8571428571428571</v>
      </c>
      <c r="Q7" s="151">
        <f>IF(J7=0,"-",IF(J7&lt;&gt;0,SUMIF('Auditorías Riesgos 2019-2023'!H:H,B7,'Auditorías Riesgos 2019-2023'!Q:Q)))</f>
        <v>2</v>
      </c>
      <c r="R7" s="148">
        <f t="shared" si="2"/>
        <v>0.14285714285714285</v>
      </c>
      <c r="S7" s="151">
        <f>IF(J7=0,"-",IF(J7&lt;&gt;0,SUMIF('Auditorías Riesgos 2019-2023'!H:H,B7,'Auditorías Riesgos 2019-2023'!R:R)))</f>
        <v>0</v>
      </c>
      <c r="T7" s="148">
        <f t="shared" si="3"/>
        <v>0</v>
      </c>
      <c r="U7" s="8">
        <f>IF(J7=0,"-",IF(J7&lt;&gt;0,SUMIF('Auditorías Riesgos 2019-2023'!H:H,B7,'Auditorías Riesgos 2019-2023'!S:S)))</f>
        <v>8</v>
      </c>
      <c r="V7" s="8">
        <f t="shared" si="4"/>
        <v>14</v>
      </c>
      <c r="W7" s="151">
        <f>IF(J7=0,"-",IF(J7&lt;&gt;0,SUMIF('Auditorías Riesgos 2019-2023'!H:H,B7,'Auditorías Riesgos 2019-2023'!T:T)))</f>
        <v>7</v>
      </c>
      <c r="X7" s="148">
        <f t="shared" si="5"/>
        <v>0.4375</v>
      </c>
    </row>
    <row r="8" spans="2:24" ht="21" customHeight="1">
      <c r="B8" s="12" t="s">
        <v>204</v>
      </c>
      <c r="C8" s="98"/>
      <c r="D8" s="99"/>
      <c r="E8" s="8">
        <f>COUNTIFS('Auditorías Riesgos 2019-2023'!B:B,$E$5,'Auditorías Riesgos 2019-2023'!H:H,B8)</f>
        <v>0</v>
      </c>
      <c r="F8" s="8">
        <f>COUNTIFS('Auditorías Riesgos 2019-2023'!B:B,$F$5,'Auditorías Riesgos 2019-2023'!H:H,B8)</f>
        <v>0</v>
      </c>
      <c r="G8" s="8">
        <f>COUNTIFS('Auditorías Riesgos 2019-2023'!B:B,$G$5,'Auditorías Riesgos 2019-2023'!H:H,B8)</f>
        <v>0</v>
      </c>
      <c r="H8" s="8">
        <f>COUNTIFS('Auditorías Riesgos 2019-2023'!B:B,$H$5,'Auditorías Riesgos 2019-2023'!H:H,B8)</f>
        <v>0</v>
      </c>
      <c r="I8" s="8">
        <f>COUNTIFS('Auditorías Riesgos 2019-2023'!B:B,$I$5,'Auditorías Riesgos 2019-2023'!H:H,B8)</f>
        <v>0</v>
      </c>
      <c r="J8" s="13">
        <f t="shared" si="6"/>
        <v>0</v>
      </c>
      <c r="K8" s="8" t="str">
        <f>IF(J8=0,"-",IF(J8&lt;&gt;0,SUMIF('Auditorías Riesgos 2019-2023'!H:H,B8,'Auditorías Riesgos 2019-2023'!K:K)))</f>
        <v>-</v>
      </c>
      <c r="L8" s="140" t="str">
        <f>IF(J8=0,"-",IF(J8&lt;&gt;0,COUNTIFS('Auditorías Riesgos 2019-2023'!H:H,B8,'Auditorías Riesgos 2019-2023'!L:L,"SI")))</f>
        <v>-</v>
      </c>
      <c r="M8" s="148" t="str">
        <f t="shared" si="0"/>
        <v>-</v>
      </c>
      <c r="N8" s="8" t="str">
        <f>IF(J8=0,"-",IF(J8&lt;&gt;0,SUMIF('Auditorías Riesgos 2019-2023'!H:H,B8,'Auditorías Riesgos 2019-2023'!O:O)))</f>
        <v>-</v>
      </c>
      <c r="O8" s="151" t="str">
        <f>IF(J8=0,"-",IF(J8&lt;&gt;0,SUMIF('Auditorías Riesgos 2019-2023'!H:H,B8,'Auditorías Riesgos 2019-2023'!P:P)))</f>
        <v>-</v>
      </c>
      <c r="P8" s="148" t="str">
        <f t="shared" si="1"/>
        <v>-</v>
      </c>
      <c r="Q8" s="151" t="str">
        <f>IF(J8=0,"-",IF(J8&lt;&gt;0,SUMIF('Auditorías Riesgos 2019-2023'!H:H,B8,'Auditorías Riesgos 2019-2023'!Q:Q)))</f>
        <v>-</v>
      </c>
      <c r="R8" s="148" t="str">
        <f t="shared" si="2"/>
        <v>-</v>
      </c>
      <c r="S8" s="151" t="str">
        <f>IF(J8=0,"-",IF(J8&lt;&gt;0,SUMIF('Auditorías Riesgos 2019-2023'!H:H,B8,'Auditorías Riesgos 2019-2023'!R:R)))</f>
        <v>-</v>
      </c>
      <c r="T8" s="148" t="str">
        <f t="shared" si="3"/>
        <v>-</v>
      </c>
      <c r="U8" s="8" t="str">
        <f>IF(J8=0,"-",IF(J8&lt;&gt;0,SUMIF('Auditorías Riesgos 2019-2023'!H:H,B8,'Auditorías Riesgos 2019-2023'!S:S)))</f>
        <v>-</v>
      </c>
      <c r="V8" s="8" t="str">
        <f t="shared" si="4"/>
        <v>-</v>
      </c>
      <c r="W8" s="151" t="str">
        <f>IF(J8=0,"-",IF(J8&lt;&gt;0,SUMIF('Auditorías Riesgos 2019-2023'!H:H,B8,'Auditorías Riesgos 2019-2023'!T:T)))</f>
        <v>-</v>
      </c>
      <c r="X8" s="148" t="str">
        <f t="shared" si="5"/>
        <v>-</v>
      </c>
    </row>
    <row r="9" spans="2:24" ht="21" customHeight="1">
      <c r="B9" s="15" t="s">
        <v>46</v>
      </c>
      <c r="C9" s="100"/>
      <c r="D9" s="101"/>
      <c r="E9" s="8">
        <f>COUNTIFS('Auditorías Riesgos 2019-2023'!B:B,$E$5,'Auditorías Riesgos 2019-2023'!H:H,B9)</f>
        <v>1</v>
      </c>
      <c r="F9" s="8">
        <f>COUNTIFS('Auditorías Riesgos 2019-2023'!B:B,$F$5,'Auditorías Riesgos 2019-2023'!H:H,B9)</f>
        <v>2</v>
      </c>
      <c r="G9" s="8">
        <f>COUNTIFS('Auditorías Riesgos 2019-2023'!B:B,$G$5,'Auditorías Riesgos 2019-2023'!H:H,B9)</f>
        <v>1</v>
      </c>
      <c r="H9" s="8">
        <f>COUNTIFS('Auditorías Riesgos 2019-2023'!B:B,$H$5,'Auditorías Riesgos 2019-2023'!H:H,B9)</f>
        <v>1</v>
      </c>
      <c r="I9" s="8">
        <f>COUNTIFS('Auditorías Riesgos 2019-2023'!B:B,$I$5,'Auditorías Riesgos 2019-2023'!H:H,B9)</f>
        <v>1</v>
      </c>
      <c r="J9" s="13">
        <f t="shared" si="6"/>
        <v>6</v>
      </c>
      <c r="K9" s="8">
        <f>IF(J9=0,"-",IF(J9&lt;&gt;0,SUMIF('Auditorías Riesgos 2019-2023'!H:H,B9,'Auditorías Riesgos 2019-2023'!K:K)))</f>
        <v>22</v>
      </c>
      <c r="L9" s="140">
        <f>IF(J9=0,"-",IF(J9&lt;&gt;0,COUNTIFS('Auditorías Riesgos 2019-2023'!H:H,B9,'Auditorías Riesgos 2019-2023'!L:L,"SI")))</f>
        <v>2</v>
      </c>
      <c r="M9" s="148">
        <f t="shared" si="0"/>
        <v>0.33333333333333331</v>
      </c>
      <c r="N9" s="8">
        <f>IF(J9=0,"-",IF(J9&lt;&gt;0,SUMIF('Auditorías Riesgos 2019-2023'!H:H,B9,'Auditorías Riesgos 2019-2023'!O:O)))</f>
        <v>16</v>
      </c>
      <c r="O9" s="151">
        <f>IF(J9=0,"-",IF(J9&lt;&gt;0,SUMIF('Auditorías Riesgos 2019-2023'!H:H,B9,'Auditorías Riesgos 2019-2023'!P:P)))</f>
        <v>10</v>
      </c>
      <c r="P9" s="148">
        <f t="shared" si="1"/>
        <v>0.90909090909090906</v>
      </c>
      <c r="Q9" s="151">
        <f>IF(J9=0,"-",IF(J9&lt;&gt;0,SUMIF('Auditorías Riesgos 2019-2023'!H:H,B9,'Auditorías Riesgos 2019-2023'!Q:Q)))</f>
        <v>0</v>
      </c>
      <c r="R9" s="148">
        <f t="shared" si="2"/>
        <v>0</v>
      </c>
      <c r="S9" s="151">
        <f>IF(J9=0,"-",IF(J9&lt;&gt;0,SUMIF('Auditorías Riesgos 2019-2023'!H:H,B9,'Auditorías Riesgos 2019-2023'!R:R)))</f>
        <v>1</v>
      </c>
      <c r="T9" s="148">
        <f t="shared" si="3"/>
        <v>9.0909090909090912E-2</v>
      </c>
      <c r="U9" s="8">
        <f>IF(J9=0,"-",IF(J9&lt;&gt;0,SUMIF('Auditorías Riesgos 2019-2023'!H:H,B9,'Auditorías Riesgos 2019-2023'!S:S)))</f>
        <v>5</v>
      </c>
      <c r="V9" s="8">
        <f t="shared" si="4"/>
        <v>11</v>
      </c>
      <c r="W9" s="151">
        <f>IF(J9=0,"-",IF(J9&lt;&gt;0,SUMIF('Auditorías Riesgos 2019-2023'!H:H,B9,'Auditorías Riesgos 2019-2023'!T:T)))</f>
        <v>2</v>
      </c>
      <c r="X9" s="148">
        <f t="shared" si="5"/>
        <v>9.0909090909090912E-2</v>
      </c>
    </row>
    <row r="10" spans="2:24" ht="21" customHeight="1">
      <c r="B10" s="16" t="s">
        <v>31</v>
      </c>
      <c r="C10" s="102"/>
      <c r="D10" s="103"/>
      <c r="E10" s="8">
        <f>COUNTIFS('Auditorías Riesgos 2019-2023'!B:B,$E$5,'Auditorías Riesgos 2019-2023'!H:H,B10)</f>
        <v>1</v>
      </c>
      <c r="F10" s="8">
        <f>COUNTIFS('Auditorías Riesgos 2019-2023'!B:B,$F$5,'Auditorías Riesgos 2019-2023'!H:H,B10)</f>
        <v>1</v>
      </c>
      <c r="G10" s="8">
        <f>COUNTIFS('Auditorías Riesgos 2019-2023'!B:B,$G$5,'Auditorías Riesgos 2019-2023'!H:H,B10)</f>
        <v>1</v>
      </c>
      <c r="H10" s="8">
        <f>COUNTIFS('Auditorías Riesgos 2019-2023'!B:B,$H$5,'Auditorías Riesgos 2019-2023'!H:H,B10)</f>
        <v>0</v>
      </c>
      <c r="I10" s="8">
        <f>COUNTIFS('Auditorías Riesgos 2019-2023'!B:B,$I$5,'Auditorías Riesgos 2019-2023'!H:H,B10)</f>
        <v>0</v>
      </c>
      <c r="J10" s="13">
        <f t="shared" si="6"/>
        <v>3</v>
      </c>
      <c r="K10" s="8">
        <f>IF(J10=0,"-",IF(J10&lt;&gt;0,SUMIF('Auditorías Riesgos 2019-2023'!H:H,B10,'Auditorías Riesgos 2019-2023'!K:K)))</f>
        <v>15</v>
      </c>
      <c r="L10" s="140">
        <f>IF(J10=0,"-",IF(J10&lt;&gt;0,COUNTIFS('Auditorías Riesgos 2019-2023'!H:H,B10,'Auditorías Riesgos 2019-2023'!L:L,"SI")))</f>
        <v>2</v>
      </c>
      <c r="M10" s="148">
        <f t="shared" si="0"/>
        <v>0.66666666666666663</v>
      </c>
      <c r="N10" s="8">
        <f>IF(J10=0,"-",IF(J10&lt;&gt;0,SUMIF('Auditorías Riesgos 2019-2023'!H:H,B10,'Auditorías Riesgos 2019-2023'!O:O)))</f>
        <v>17</v>
      </c>
      <c r="O10" s="151">
        <f>IF(J10=0,"-",IF(J10&lt;&gt;0,SUMIF('Auditorías Riesgos 2019-2023'!H:H,B10,'Auditorías Riesgos 2019-2023'!P:P)))</f>
        <v>6</v>
      </c>
      <c r="P10" s="148">
        <f t="shared" si="1"/>
        <v>0.35294117647058826</v>
      </c>
      <c r="Q10" s="151">
        <f>IF(J10=0,"-",IF(J10&lt;&gt;0,SUMIF('Auditorías Riesgos 2019-2023'!H:H,B10,'Auditorías Riesgos 2019-2023'!Q:Q)))</f>
        <v>3</v>
      </c>
      <c r="R10" s="148">
        <f t="shared" si="2"/>
        <v>0.17647058823529413</v>
      </c>
      <c r="S10" s="151">
        <f>IF(J10=0,"-",IF(J10&lt;&gt;0,SUMIF('Auditorías Riesgos 2019-2023'!H:H,B10,'Auditorías Riesgos 2019-2023'!R:R)))</f>
        <v>8</v>
      </c>
      <c r="T10" s="148">
        <f t="shared" si="3"/>
        <v>0.47058823529411764</v>
      </c>
      <c r="U10" s="8">
        <f>IF(J10=0,"-",IF(J10&lt;&gt;0,SUMIF('Auditorías Riesgos 2019-2023'!H:H,B10,'Auditorías Riesgos 2019-2023'!S:S)))</f>
        <v>0</v>
      </c>
      <c r="V10" s="8">
        <f t="shared" si="4"/>
        <v>17</v>
      </c>
      <c r="W10" s="151">
        <f>IF(J10=0,"-",IF(J10&lt;&gt;0,SUMIF('Auditorías Riesgos 2019-2023'!H:H,B10,'Auditorías Riesgos 2019-2023'!T:T)))</f>
        <v>3</v>
      </c>
      <c r="X10" s="148">
        <f t="shared" si="5"/>
        <v>0.2</v>
      </c>
    </row>
    <row r="11" spans="2:24" ht="21" customHeight="1">
      <c r="B11" s="16" t="s">
        <v>28</v>
      </c>
      <c r="C11" s="102"/>
      <c r="D11" s="103"/>
      <c r="E11" s="8">
        <f>COUNTIFS('Auditorías Riesgos 2019-2023'!B:B,$E$5,'Auditorías Riesgos 2019-2023'!H:H,B11)</f>
        <v>1</v>
      </c>
      <c r="F11" s="8">
        <f>COUNTIFS('Auditorías Riesgos 2019-2023'!B:B,$F$5,'Auditorías Riesgos 2019-2023'!H:H,B11)</f>
        <v>0</v>
      </c>
      <c r="G11" s="8">
        <f>COUNTIFS('Auditorías Riesgos 2019-2023'!B:B,$G$5,'Auditorías Riesgos 2019-2023'!H:H,B11)</f>
        <v>0</v>
      </c>
      <c r="H11" s="8">
        <f>COUNTIFS('Auditorías Riesgos 2019-2023'!B:B,$H$5,'Auditorías Riesgos 2019-2023'!H:H,B11)</f>
        <v>0</v>
      </c>
      <c r="I11" s="8">
        <f>COUNTIFS('Auditorías Riesgos 2019-2023'!B:B,$I$5,'Auditorías Riesgos 2019-2023'!H:H,B11)</f>
        <v>0</v>
      </c>
      <c r="J11" s="13">
        <f t="shared" si="6"/>
        <v>1</v>
      </c>
      <c r="K11" s="8">
        <f>IF(J11=0,"-",IF(J11&lt;&gt;0,SUMIF('Auditorías Riesgos 2019-2023'!H:H,B11,'Auditorías Riesgos 2019-2023'!K:K)))</f>
        <v>6</v>
      </c>
      <c r="L11" s="140">
        <f>IF(J11=0,"-",IF(J11&lt;&gt;0,COUNTIFS('Auditorías Riesgos 2019-2023'!H:H,B11,'Auditorías Riesgos 2019-2023'!L:L,"SI")))</f>
        <v>1</v>
      </c>
      <c r="M11" s="148">
        <f t="shared" si="0"/>
        <v>1</v>
      </c>
      <c r="N11" s="8">
        <f>IF(J11=0,"-",IF(J11&lt;&gt;0,SUMIF('Auditorías Riesgos 2019-2023'!H:H,B11,'Auditorías Riesgos 2019-2023'!O:O)))</f>
        <v>6</v>
      </c>
      <c r="O11" s="151">
        <f>IF(J11=0,"-",IF(J11&lt;&gt;0,SUMIF('Auditorías Riesgos 2019-2023'!H:H,B11,'Auditorías Riesgos 2019-2023'!P:P)))</f>
        <v>4</v>
      </c>
      <c r="P11" s="148">
        <f t="shared" si="1"/>
        <v>0.66666666666666663</v>
      </c>
      <c r="Q11" s="151">
        <f>IF(J11=0,"-",IF(J11&lt;&gt;0,SUMIF('Auditorías Riesgos 2019-2023'!H:H,B11,'Auditorías Riesgos 2019-2023'!Q:Q)))</f>
        <v>1</v>
      </c>
      <c r="R11" s="148">
        <f t="shared" si="2"/>
        <v>0.16666666666666666</v>
      </c>
      <c r="S11" s="151">
        <f>IF(J11=0,"-",IF(J11&lt;&gt;0,SUMIF('Auditorías Riesgos 2019-2023'!H:H,B11,'Auditorías Riesgos 2019-2023'!R:R)))</f>
        <v>1</v>
      </c>
      <c r="T11" s="148">
        <f t="shared" si="3"/>
        <v>0.16666666666666666</v>
      </c>
      <c r="U11" s="8">
        <f>IF(J11=0,"-",IF(J11&lt;&gt;0,SUMIF('Auditorías Riesgos 2019-2023'!H:H,B11,'Auditorías Riesgos 2019-2023'!S:S)))</f>
        <v>0</v>
      </c>
      <c r="V11" s="8">
        <f t="shared" si="4"/>
        <v>6</v>
      </c>
      <c r="W11" s="151">
        <f>IF(J11=0,"-",IF(J11&lt;&gt;0,SUMIF('Auditorías Riesgos 2019-2023'!H:H,B11,'Auditorías Riesgos 2019-2023'!T:T)))</f>
        <v>4</v>
      </c>
      <c r="X11" s="148">
        <f t="shared" si="5"/>
        <v>0.66666666666666663</v>
      </c>
    </row>
    <row r="12" spans="2:24" ht="21" customHeight="1">
      <c r="B12" s="16" t="s">
        <v>16</v>
      </c>
      <c r="C12" s="102"/>
      <c r="D12" s="103"/>
      <c r="E12" s="8">
        <f>COUNTIFS('Auditorías Riesgos 2019-2023'!B:B,$E$5,'Auditorías Riesgos 2019-2023'!H:H,B12)</f>
        <v>1</v>
      </c>
      <c r="F12" s="8">
        <f>COUNTIFS('Auditorías Riesgos 2019-2023'!B:B,$F$5,'Auditorías Riesgos 2019-2023'!H:H,B12)</f>
        <v>1</v>
      </c>
      <c r="G12" s="8">
        <f>COUNTIFS('Auditorías Riesgos 2019-2023'!B:B,$G$5,'Auditorías Riesgos 2019-2023'!H:H,B12)</f>
        <v>0</v>
      </c>
      <c r="H12" s="8">
        <f>COUNTIFS('Auditorías Riesgos 2019-2023'!B:B,$H$5,'Auditorías Riesgos 2019-2023'!H:H,B12)</f>
        <v>0</v>
      </c>
      <c r="I12" s="8">
        <f>COUNTIFS('Auditorías Riesgos 2019-2023'!B:B,$I$5,'Auditorías Riesgos 2019-2023'!H:H,B12)</f>
        <v>0</v>
      </c>
      <c r="J12" s="13">
        <f t="shared" si="6"/>
        <v>2</v>
      </c>
      <c r="K12" s="8">
        <f>IF(J12=0,"-",IF(J12&lt;&gt;0,SUMIF('Auditorías Riesgos 2019-2023'!H:H,B12,'Auditorías Riesgos 2019-2023'!K:K)))</f>
        <v>13</v>
      </c>
      <c r="L12" s="140">
        <f>IF(J12=0,"-",IF(J12&lt;&gt;0,COUNTIFS('Auditorías Riesgos 2019-2023'!H:H,B12,'Auditorías Riesgos 2019-2023'!L:L,"SI")))</f>
        <v>2</v>
      </c>
      <c r="M12" s="148">
        <f t="shared" si="0"/>
        <v>1</v>
      </c>
      <c r="N12" s="8">
        <f>IF(J12=0,"-",IF(J12&lt;&gt;0,SUMIF('Auditorías Riesgos 2019-2023'!H:H,B12,'Auditorías Riesgos 2019-2023'!O:O)))</f>
        <v>13</v>
      </c>
      <c r="O12" s="151">
        <f>IF(J12=0,"-",IF(J12&lt;&gt;0,SUMIF('Auditorías Riesgos 2019-2023'!H:H,B12,'Auditorías Riesgos 2019-2023'!P:P)))</f>
        <v>5</v>
      </c>
      <c r="P12" s="148">
        <f t="shared" si="1"/>
        <v>0.38461538461538464</v>
      </c>
      <c r="Q12" s="151">
        <f>IF(J12=0,"-",IF(J12&lt;&gt;0,SUMIF('Auditorías Riesgos 2019-2023'!H:H,B12,'Auditorías Riesgos 2019-2023'!Q:Q)))</f>
        <v>5</v>
      </c>
      <c r="R12" s="148">
        <f t="shared" si="2"/>
        <v>0.38461538461538464</v>
      </c>
      <c r="S12" s="151">
        <f>IF(J12=0,"-",IF(J12&lt;&gt;0,SUMIF('Auditorías Riesgos 2019-2023'!H:H,B12,'Auditorías Riesgos 2019-2023'!R:R)))</f>
        <v>3</v>
      </c>
      <c r="T12" s="148">
        <f t="shared" si="3"/>
        <v>0.23076923076923078</v>
      </c>
      <c r="U12" s="8">
        <f>IF(J12=0,"-",IF(J12&lt;&gt;0,SUMIF('Auditorías Riesgos 2019-2023'!H:H,B12,'Auditorías Riesgos 2019-2023'!S:S)))</f>
        <v>0</v>
      </c>
      <c r="V12" s="8">
        <f t="shared" si="4"/>
        <v>13</v>
      </c>
      <c r="W12" s="151">
        <f>IF(J12=0,"-",IF(J12&lt;&gt;0,SUMIF('Auditorías Riesgos 2019-2023'!H:H,B12,'Auditorías Riesgos 2019-2023'!T:T)))</f>
        <v>4</v>
      </c>
      <c r="X12" s="148">
        <f t="shared" si="5"/>
        <v>0.30769230769230771</v>
      </c>
    </row>
    <row r="13" spans="2:24" ht="21" customHeight="1">
      <c r="B13" s="16" t="s">
        <v>19</v>
      </c>
      <c r="C13" s="102"/>
      <c r="D13" s="103"/>
      <c r="E13" s="8">
        <f>COUNTIFS('Auditorías Riesgos 2019-2023'!B:B,$E$5,'Auditorías Riesgos 2019-2023'!H:H,B13)</f>
        <v>1</v>
      </c>
      <c r="F13" s="8">
        <f>COUNTIFS('Auditorías Riesgos 2019-2023'!B:B,$F$5,'Auditorías Riesgos 2019-2023'!H:H,B13)</f>
        <v>2</v>
      </c>
      <c r="G13" s="8">
        <f>COUNTIFS('Auditorías Riesgos 2019-2023'!B:B,$G$5,'Auditorías Riesgos 2019-2023'!H:H,B13)</f>
        <v>2</v>
      </c>
      <c r="H13" s="8">
        <f>COUNTIFS('Auditorías Riesgos 2019-2023'!B:B,$H$5,'Auditorías Riesgos 2019-2023'!H:H,B13)</f>
        <v>0</v>
      </c>
      <c r="I13" s="8">
        <f>COUNTIFS('Auditorías Riesgos 2019-2023'!B:B,$I$5,'Auditorías Riesgos 2019-2023'!H:H,B13)</f>
        <v>0</v>
      </c>
      <c r="J13" s="13">
        <f>SUM(E13:I13)</f>
        <v>5</v>
      </c>
      <c r="K13" s="8">
        <f>IF(J13=0,"-",IF(J13&lt;&gt;0,SUMIF('Auditorías Riesgos 2019-2023'!H:H,B13,'Auditorías Riesgos 2019-2023'!K:K)))</f>
        <v>17</v>
      </c>
      <c r="L13" s="140">
        <f>IF(J13=0,"-",IF(J13&lt;&gt;0,COUNTIFS('Auditorías Riesgos 2019-2023'!H:H,B13,'Auditorías Riesgos 2019-2023'!L:L,"SI")))</f>
        <v>2</v>
      </c>
      <c r="M13" s="148">
        <f t="shared" si="0"/>
        <v>0.4</v>
      </c>
      <c r="N13" s="8">
        <f>IF(J13=0,"-",IF(J13&lt;&gt;0,SUMIF('Auditorías Riesgos 2019-2023'!H:H,B13,'Auditorías Riesgos 2019-2023'!O:O)))</f>
        <v>19</v>
      </c>
      <c r="O13" s="151">
        <f>IF(J13=0,"-",IF(J13&lt;&gt;0,SUMIF('Auditorías Riesgos 2019-2023'!H:H,B13,'Auditorías Riesgos 2019-2023'!P:P)))</f>
        <v>0</v>
      </c>
      <c r="P13" s="148">
        <f t="shared" si="1"/>
        <v>0</v>
      </c>
      <c r="Q13" s="151">
        <f>IF(J13=0,"-",IF(J13&lt;&gt;0,SUMIF('Auditorías Riesgos 2019-2023'!H:H,B13,'Auditorías Riesgos 2019-2023'!Q:Q)))</f>
        <v>4</v>
      </c>
      <c r="R13" s="148">
        <f t="shared" si="2"/>
        <v>0.8</v>
      </c>
      <c r="S13" s="151">
        <f>IF(J13=0,"-",IF(J13&lt;&gt;0,SUMIF('Auditorías Riesgos 2019-2023'!H:H,B13,'Auditorías Riesgos 2019-2023'!R:R)))</f>
        <v>1</v>
      </c>
      <c r="T13" s="148">
        <f t="shared" si="3"/>
        <v>0.2</v>
      </c>
      <c r="U13" s="8">
        <f>IF(J13=0,"-",IF(J13&lt;&gt;0,SUMIF('Auditorías Riesgos 2019-2023'!H:H,B13,'Auditorías Riesgos 2019-2023'!S:S)))</f>
        <v>14</v>
      </c>
      <c r="V13" s="8">
        <f t="shared" si="4"/>
        <v>5</v>
      </c>
      <c r="W13" s="151">
        <f>IF(J13=0,"-",IF(J13&lt;&gt;0,SUMIF('Auditorías Riesgos 2019-2023'!H:H,B13,'Auditorías Riesgos 2019-2023'!T:T)))</f>
        <v>0</v>
      </c>
      <c r="X13" s="148">
        <f t="shared" si="5"/>
        <v>0</v>
      </c>
    </row>
    <row r="14" spans="2:24" ht="21" customHeight="1">
      <c r="B14" s="16" t="s">
        <v>12</v>
      </c>
      <c r="C14" s="102"/>
      <c r="D14" s="103"/>
      <c r="E14" s="8">
        <f>COUNTIFS('Auditorías Riesgos 2019-2023'!B:B,$E$5,'Auditorías Riesgos 2019-2023'!H:H,B14)</f>
        <v>1</v>
      </c>
      <c r="F14" s="8">
        <f>COUNTIFS('Auditorías Riesgos 2019-2023'!B:B,$F$5,'Auditorías Riesgos 2019-2023'!H:H,B14)</f>
        <v>1</v>
      </c>
      <c r="G14" s="8">
        <f>COUNTIFS('Auditorías Riesgos 2019-2023'!B:B,$G$5,'Auditorías Riesgos 2019-2023'!H:H,B14)</f>
        <v>0</v>
      </c>
      <c r="H14" s="8">
        <f>COUNTIFS('Auditorías Riesgos 2019-2023'!B:B,$H$5,'Auditorías Riesgos 2019-2023'!H:H,B14)</f>
        <v>0</v>
      </c>
      <c r="I14" s="8">
        <f>COUNTIFS('Auditorías Riesgos 2019-2023'!B:B,$I$5,'Auditorías Riesgos 2019-2023'!H:H,B14)</f>
        <v>0</v>
      </c>
      <c r="J14" s="13">
        <f>SUM(E14:I14)</f>
        <v>2</v>
      </c>
      <c r="K14" s="8">
        <f>IF(J14=0,"-",IF(J14&lt;&gt;0,SUMIF('Auditorías Riesgos 2019-2023'!H:H,B14,'Auditorías Riesgos 2019-2023'!K:K)))</f>
        <v>8</v>
      </c>
      <c r="L14" s="140">
        <f>IF(J14=0,"-",IF(J14&lt;&gt;0,COUNTIFS('Auditorías Riesgos 2019-2023'!H:H,B14,'Auditorías Riesgos 2019-2023'!L:L,"SI")))</f>
        <v>2</v>
      </c>
      <c r="M14" s="148">
        <f t="shared" si="0"/>
        <v>1</v>
      </c>
      <c r="N14" s="8">
        <f>IF(J14=0,"-",IF(J14&lt;&gt;0,SUMIF('Auditorías Riesgos 2019-2023'!H:H,B14,'Auditorías Riesgos 2019-2023'!O:O)))</f>
        <v>19</v>
      </c>
      <c r="O14" s="151">
        <f>IF(J14=0,"-",IF(J14&lt;&gt;0,SUMIF('Auditorías Riesgos 2019-2023'!H:H,B14,'Auditorías Riesgos 2019-2023'!P:P)))</f>
        <v>11</v>
      </c>
      <c r="P14" s="148">
        <f t="shared" si="1"/>
        <v>0.57894736842105265</v>
      </c>
      <c r="Q14" s="151">
        <f>IF(J14=0,"-",IF(J14&lt;&gt;0,SUMIF('Auditorías Riesgos 2019-2023'!H:H,B14,'Auditorías Riesgos 2019-2023'!Q:Q)))</f>
        <v>1</v>
      </c>
      <c r="R14" s="148">
        <f t="shared" si="2"/>
        <v>5.2631578947368418E-2</v>
      </c>
      <c r="S14" s="151">
        <f>IF(J14=0,"-",IF(J14&lt;&gt;0,SUMIF('Auditorías Riesgos 2019-2023'!H:H,B14,'Auditorías Riesgos 2019-2023'!R:R)))</f>
        <v>7</v>
      </c>
      <c r="T14" s="148">
        <f t="shared" si="3"/>
        <v>0.36842105263157893</v>
      </c>
      <c r="U14" s="8">
        <f>IF(J14=0,"-",IF(J14&lt;&gt;0,SUMIF('Auditorías Riesgos 2019-2023'!H:H,B14,'Auditorías Riesgos 2019-2023'!S:S)))</f>
        <v>0</v>
      </c>
      <c r="V14" s="8">
        <f t="shared" si="4"/>
        <v>19</v>
      </c>
      <c r="W14" s="151">
        <f>IF(J14=0,"-",IF(J14&lt;&gt;0,SUMIF('Auditorías Riesgos 2019-2023'!H:H,B14,'Auditorías Riesgos 2019-2023'!T:T)))</f>
        <v>2</v>
      </c>
      <c r="X14" s="148">
        <f t="shared" si="5"/>
        <v>0.25</v>
      </c>
    </row>
    <row r="15" spans="2:24" ht="21" customHeight="1">
      <c r="B15" s="16" t="s">
        <v>25</v>
      </c>
      <c r="C15" s="102"/>
      <c r="D15" s="103"/>
      <c r="E15" s="8">
        <f>COUNTIFS('Auditorías Riesgos 2019-2023'!B:B,$E$5,'Auditorías Riesgos 2019-2023'!H:H,B15)</f>
        <v>1</v>
      </c>
      <c r="F15" s="8">
        <f>COUNTIFS('Auditorías Riesgos 2019-2023'!B:B,$F$5,'Auditorías Riesgos 2019-2023'!H:H,B15)</f>
        <v>1</v>
      </c>
      <c r="G15" s="8">
        <f>COUNTIFS('Auditorías Riesgos 2019-2023'!B:B,$G$5,'Auditorías Riesgos 2019-2023'!H:H,B15)</f>
        <v>0</v>
      </c>
      <c r="H15" s="8">
        <f>COUNTIFS('Auditorías Riesgos 2019-2023'!B:B,$H$5,'Auditorías Riesgos 2019-2023'!H:H,B15)</f>
        <v>0</v>
      </c>
      <c r="I15" s="8">
        <f>COUNTIFS('Auditorías Riesgos 2019-2023'!B:B,$I$5,'Auditorías Riesgos 2019-2023'!H:H,B15)</f>
        <v>0</v>
      </c>
      <c r="J15" s="13">
        <f>SUM(E15:I15)</f>
        <v>2</v>
      </c>
      <c r="K15" s="8">
        <f>IF(J15=0,"-",IF(J15&lt;&gt;0,SUMIF('Auditorías Riesgos 2019-2023'!H:H,B15,'Auditorías Riesgos 2019-2023'!K:K)))</f>
        <v>12</v>
      </c>
      <c r="L15" s="140">
        <f>IF(J15=0,"-",IF(J15&lt;&gt;0,COUNTIFS('Auditorías Riesgos 2019-2023'!H:H,B15,'Auditorías Riesgos 2019-2023'!L:L,"SI")))</f>
        <v>2</v>
      </c>
      <c r="M15" s="148">
        <f t="shared" si="0"/>
        <v>1</v>
      </c>
      <c r="N15" s="8">
        <f>IF(J15=0,"-",IF(J15&lt;&gt;0,SUMIF('Auditorías Riesgos 2019-2023'!H:H,B15,'Auditorías Riesgos 2019-2023'!O:O)))</f>
        <v>13</v>
      </c>
      <c r="O15" s="151">
        <f>IF(J15=0,"-",IF(J15&lt;&gt;0,SUMIF('Auditorías Riesgos 2019-2023'!H:H,B15,'Auditorías Riesgos 2019-2023'!P:P)))</f>
        <v>0</v>
      </c>
      <c r="P15" s="148">
        <f t="shared" si="1"/>
        <v>0</v>
      </c>
      <c r="Q15" s="151">
        <f>IF(J15=0,"-",IF(J15&lt;&gt;0,SUMIF('Auditorías Riesgos 2019-2023'!H:H,B15,'Auditorías Riesgos 2019-2023'!Q:Q)))</f>
        <v>5</v>
      </c>
      <c r="R15" s="148">
        <f t="shared" si="2"/>
        <v>0.38461538461538464</v>
      </c>
      <c r="S15" s="151">
        <f>IF(J15=0,"-",IF(J15&lt;&gt;0,SUMIF('Auditorías Riesgos 2019-2023'!H:H,B15,'Auditorías Riesgos 2019-2023'!R:R)))</f>
        <v>8</v>
      </c>
      <c r="T15" s="148">
        <f t="shared" si="3"/>
        <v>0.61538461538461542</v>
      </c>
      <c r="U15" s="8">
        <f>IF(J15=0,"-",IF(J15&lt;&gt;0,SUMIF('Auditorías Riesgos 2019-2023'!H:H,B15,'Auditorías Riesgos 2019-2023'!S:S)))</f>
        <v>0</v>
      </c>
      <c r="V15" s="8">
        <f t="shared" si="4"/>
        <v>13</v>
      </c>
      <c r="W15" s="151">
        <f>IF(J15=0,"-",IF(J15&lt;&gt;0,SUMIF('Auditorías Riesgos 2019-2023'!H:H,B15,'Auditorías Riesgos 2019-2023'!T:T)))</f>
        <v>0</v>
      </c>
      <c r="X15" s="148">
        <f t="shared" si="5"/>
        <v>0</v>
      </c>
    </row>
    <row r="16" spans="2:24" ht="21" customHeight="1">
      <c r="B16" s="16" t="s">
        <v>71</v>
      </c>
      <c r="C16" s="102"/>
      <c r="D16" s="103"/>
      <c r="E16" s="8">
        <f>COUNTIFS('Auditorías Riesgos 2019-2023'!B:B,$E$5,'Auditorías Riesgos 2019-2023'!H:H,B16)</f>
        <v>0</v>
      </c>
      <c r="F16" s="8">
        <f>COUNTIFS('Auditorías Riesgos 2019-2023'!B:B,$F$5,'Auditorías Riesgos 2019-2023'!H:H,B16)</f>
        <v>1</v>
      </c>
      <c r="G16" s="8">
        <f>COUNTIFS('Auditorías Riesgos 2019-2023'!B:B,$G$5,'Auditorías Riesgos 2019-2023'!H:H,B16)</f>
        <v>0</v>
      </c>
      <c r="H16" s="8">
        <f>COUNTIFS('Auditorías Riesgos 2019-2023'!B:B,$H$5,'Auditorías Riesgos 2019-2023'!H:H,B16)</f>
        <v>0</v>
      </c>
      <c r="I16" s="8">
        <f>COUNTIFS('Auditorías Riesgos 2019-2023'!B:B,$I$5,'Auditorías Riesgos 2019-2023'!H:H,B16)</f>
        <v>0</v>
      </c>
      <c r="J16" s="13">
        <f>SUM(E16:I16)</f>
        <v>1</v>
      </c>
      <c r="K16" s="8">
        <f>IF(J16=0,"-",IF(J16&lt;&gt;0,SUMIF('Auditorías Riesgos 2019-2023'!H:H,B16,'Auditorías Riesgos 2019-2023'!K:K)))</f>
        <v>4</v>
      </c>
      <c r="L16" s="140">
        <f>IF(J16=0,"-",IF(J16&lt;&gt;0,COUNTIFS('Auditorías Riesgos 2019-2023'!H:H,B16,'Auditorías Riesgos 2019-2023'!L:L,"SI")))</f>
        <v>1</v>
      </c>
      <c r="M16" s="148">
        <f t="shared" si="0"/>
        <v>1</v>
      </c>
      <c r="N16" s="8">
        <f>IF(J16=0,"-",IF(J16&lt;&gt;0,SUMIF('Auditorías Riesgos 2019-2023'!H:H,B16,'Auditorías Riesgos 2019-2023'!O:O)))</f>
        <v>16</v>
      </c>
      <c r="O16" s="151">
        <f>IF(J16=0,"-",IF(J16&lt;&gt;0,SUMIF('Auditorías Riesgos 2019-2023'!H:H,B16,'Auditorías Riesgos 2019-2023'!P:P)))</f>
        <v>6</v>
      </c>
      <c r="P16" s="148">
        <f t="shared" si="1"/>
        <v>0.375</v>
      </c>
      <c r="Q16" s="151">
        <f>IF(J16=0,"-",IF(J16&lt;&gt;0,SUMIF('Auditorías Riesgos 2019-2023'!H:H,B16,'Auditorías Riesgos 2019-2023'!Q:Q)))</f>
        <v>9</v>
      </c>
      <c r="R16" s="148">
        <f t="shared" si="2"/>
        <v>0.5625</v>
      </c>
      <c r="S16" s="151">
        <f>IF(J16=0,"-",IF(J16&lt;&gt;0,SUMIF('Auditorías Riesgos 2019-2023'!H:H,B16,'Auditorías Riesgos 2019-2023'!R:R)))</f>
        <v>1</v>
      </c>
      <c r="T16" s="148">
        <f t="shared" si="3"/>
        <v>6.25E-2</v>
      </c>
      <c r="U16" s="8">
        <f>IF(J16=0,"-",IF(J16&lt;&gt;0,SUMIF('Auditorías Riesgos 2019-2023'!H:H,B16,'Auditorías Riesgos 2019-2023'!S:S)))</f>
        <v>0</v>
      </c>
      <c r="V16" s="8">
        <f t="shared" si="4"/>
        <v>16</v>
      </c>
      <c r="W16" s="151">
        <f>IF(J16=0,"-",IF(J16&lt;&gt;0,SUMIF('Auditorías Riesgos 2019-2023'!H:H,B16,'Auditorías Riesgos 2019-2023'!T:T)))</f>
        <v>0</v>
      </c>
      <c r="X16" s="148">
        <f t="shared" si="5"/>
        <v>0</v>
      </c>
    </row>
    <row r="17" spans="2:24" ht="21" customHeight="1">
      <c r="B17" s="16" t="s">
        <v>22</v>
      </c>
      <c r="C17" s="102"/>
      <c r="D17" s="103"/>
      <c r="E17" s="8">
        <f>COUNTIFS('Auditorías Riesgos 2019-2023'!B:B,$E$5,'Auditorías Riesgos 2019-2023'!H:H,B17)</f>
        <v>1</v>
      </c>
      <c r="F17" s="8">
        <f>COUNTIFS('Auditorías Riesgos 2019-2023'!B:B,$F$5,'Auditorías Riesgos 2019-2023'!H:H,B17)</f>
        <v>1</v>
      </c>
      <c r="G17" s="8">
        <f>COUNTIFS('Auditorías Riesgos 2019-2023'!B:B,$G$5,'Auditorías Riesgos 2019-2023'!H:H,B17)</f>
        <v>0</v>
      </c>
      <c r="H17" s="8">
        <f>COUNTIFS('Auditorías Riesgos 2019-2023'!B:B,$H$5,'Auditorías Riesgos 2019-2023'!H:H,B17)</f>
        <v>1</v>
      </c>
      <c r="I17" s="8">
        <f>COUNTIFS('Auditorías Riesgos 2019-2023'!B:B,$I$5,'Auditorías Riesgos 2019-2023'!H:H,B17)</f>
        <v>1</v>
      </c>
      <c r="J17" s="13">
        <f t="shared" ref="J17:J27" si="7">SUM(E17:I17)</f>
        <v>4</v>
      </c>
      <c r="K17" s="8">
        <f>IF(J17=0,"-",IF(J17&lt;&gt;0,SUMIF('Auditorías Riesgos 2019-2023'!H:H,B17,'Auditorías Riesgos 2019-2023'!K:K)))</f>
        <v>14</v>
      </c>
      <c r="L17" s="140">
        <f>IF(J17=0,"-",IF(J17&lt;&gt;0,COUNTIFS('Auditorías Riesgos 2019-2023'!H:H,B17,'Auditorías Riesgos 2019-2023'!L:L,"SI")))</f>
        <v>2</v>
      </c>
      <c r="M17" s="148">
        <f t="shared" si="0"/>
        <v>0.5</v>
      </c>
      <c r="N17" s="8">
        <f>IF(J17=0,"-",IF(J17&lt;&gt;0,SUMIF('Auditorías Riesgos 2019-2023'!H:H,B17,'Auditorías Riesgos 2019-2023'!O:O)))</f>
        <v>20</v>
      </c>
      <c r="O17" s="151">
        <f>IF(J17=0,"-",IF(J17&lt;&gt;0,SUMIF('Auditorías Riesgos 2019-2023'!H:H,B17,'Auditorías Riesgos 2019-2023'!P:P)))</f>
        <v>0</v>
      </c>
      <c r="P17" s="148">
        <f t="shared" si="1"/>
        <v>0</v>
      </c>
      <c r="Q17" s="151">
        <f>IF(J17=0,"-",IF(J17&lt;&gt;0,SUMIF('Auditorías Riesgos 2019-2023'!H:H,B17,'Auditorías Riesgos 2019-2023'!Q:Q)))</f>
        <v>4</v>
      </c>
      <c r="R17" s="148">
        <f t="shared" si="2"/>
        <v>0.2</v>
      </c>
      <c r="S17" s="151">
        <f>IF(J17=0,"-",IF(J17&lt;&gt;0,SUMIF('Auditorías Riesgos 2019-2023'!H:H,B17,'Auditorías Riesgos 2019-2023'!R:R)))</f>
        <v>16</v>
      </c>
      <c r="T17" s="148">
        <f t="shared" si="3"/>
        <v>0.8</v>
      </c>
      <c r="U17" s="8">
        <f>IF(J17=0,"-",IF(J17&lt;&gt;0,SUMIF('Auditorías Riesgos 2019-2023'!H:H,B17,'Auditorías Riesgos 2019-2023'!S:S)))</f>
        <v>0</v>
      </c>
      <c r="V17" s="8">
        <f t="shared" si="4"/>
        <v>20</v>
      </c>
      <c r="W17" s="151">
        <f>IF(J17=0,"-",IF(J17&lt;&gt;0,SUMIF('Auditorías Riesgos 2019-2023'!H:H,B17,'Auditorías Riesgos 2019-2023'!T:T)))</f>
        <v>0</v>
      </c>
      <c r="X17" s="148">
        <f t="shared" si="5"/>
        <v>0</v>
      </c>
    </row>
    <row r="18" spans="2:24" ht="21" customHeight="1">
      <c r="B18" s="16" t="s">
        <v>85</v>
      </c>
      <c r="C18" s="102"/>
      <c r="D18" s="103"/>
      <c r="E18" s="8">
        <f>COUNTIFS('Auditorías Riesgos 2019-2023'!B:B,$E$5,'Auditorías Riesgos 2019-2023'!H:H,B18)</f>
        <v>0</v>
      </c>
      <c r="F18" s="8">
        <f>COUNTIFS('Auditorías Riesgos 2019-2023'!B:B,$F$5,'Auditorías Riesgos 2019-2023'!H:H,B18)</f>
        <v>1</v>
      </c>
      <c r="G18" s="8">
        <f>COUNTIFS('Auditorías Riesgos 2019-2023'!B:B,$G$5,'Auditorías Riesgos 2019-2023'!H:H,B18)</f>
        <v>0</v>
      </c>
      <c r="H18" s="8">
        <f>COUNTIFS('Auditorías Riesgos 2019-2023'!B:B,$H$5,'Auditorías Riesgos 2019-2023'!H:H,B18)</f>
        <v>0</v>
      </c>
      <c r="I18" s="8">
        <f>COUNTIFS('Auditorías Riesgos 2019-2023'!B:B,$I$5,'Auditorías Riesgos 2019-2023'!H:H,B18)</f>
        <v>0</v>
      </c>
      <c r="J18" s="13">
        <f t="shared" si="7"/>
        <v>1</v>
      </c>
      <c r="K18" s="8">
        <f>IF(J18=0,"-",IF(J18&lt;&gt;0,SUMIF('Auditorías Riesgos 2019-2023'!H:H,B18,'Auditorías Riesgos 2019-2023'!K:K)))</f>
        <v>6</v>
      </c>
      <c r="L18" s="140">
        <f>IF(J18=0,"-",IF(J18&lt;&gt;0,COUNTIFS('Auditorías Riesgos 2019-2023'!H:H,B18,'Auditorías Riesgos 2019-2023'!L:L,"SI")))</f>
        <v>1</v>
      </c>
      <c r="M18" s="148">
        <f t="shared" si="0"/>
        <v>1</v>
      </c>
      <c r="N18" s="8">
        <f>IF(J18=0,"-",IF(J18&lt;&gt;0,SUMIF('Auditorías Riesgos 2019-2023'!H:H,B18,'Auditorías Riesgos 2019-2023'!O:O)))</f>
        <v>5</v>
      </c>
      <c r="O18" s="151">
        <f>IF(J18=0,"-",IF(J18&lt;&gt;0,SUMIF('Auditorías Riesgos 2019-2023'!H:H,B18,'Auditorías Riesgos 2019-2023'!P:P)))</f>
        <v>4</v>
      </c>
      <c r="P18" s="148">
        <f t="shared" si="1"/>
        <v>0.8</v>
      </c>
      <c r="Q18" s="151">
        <f>IF(J18=0,"-",IF(J18&lt;&gt;0,SUMIF('Auditorías Riesgos 2019-2023'!H:H,B18,'Auditorías Riesgos 2019-2023'!Q:Q)))</f>
        <v>1</v>
      </c>
      <c r="R18" s="148">
        <f t="shared" si="2"/>
        <v>0.2</v>
      </c>
      <c r="S18" s="151">
        <f>IF(J18=0,"-",IF(J18&lt;&gt;0,SUMIF('Auditorías Riesgos 2019-2023'!H:H,B18,'Auditorías Riesgos 2019-2023'!R:R)))</f>
        <v>0</v>
      </c>
      <c r="T18" s="148">
        <f t="shared" si="3"/>
        <v>0</v>
      </c>
      <c r="U18" s="8">
        <f>IF(J18=0,"-",IF(J18&lt;&gt;0,SUMIF('Auditorías Riesgos 2019-2023'!H:H,B18,'Auditorías Riesgos 2019-2023'!S:S)))</f>
        <v>0</v>
      </c>
      <c r="V18" s="8">
        <f t="shared" si="4"/>
        <v>5</v>
      </c>
      <c r="W18" s="151">
        <f>IF(J18=0,"-",IF(J18&lt;&gt;0,SUMIF('Auditorías Riesgos 2019-2023'!H:H,B18,'Auditorías Riesgos 2019-2023'!T:T)))</f>
        <v>4</v>
      </c>
      <c r="X18" s="148">
        <f t="shared" si="5"/>
        <v>0.66666666666666663</v>
      </c>
    </row>
    <row r="19" spans="2:24" ht="21" customHeight="1">
      <c r="B19" s="16" t="s">
        <v>128</v>
      </c>
      <c r="C19" s="102"/>
      <c r="D19" s="103"/>
      <c r="E19" s="8">
        <f>COUNTIFS('Auditorías Riesgos 2019-2023'!B:B,$E$5,'Auditorías Riesgos 2019-2023'!H:H,B19)</f>
        <v>0</v>
      </c>
      <c r="F19" s="8">
        <f>COUNTIFS('Auditorías Riesgos 2019-2023'!B:B,$F$5,'Auditorías Riesgos 2019-2023'!H:H,B19)</f>
        <v>0</v>
      </c>
      <c r="G19" s="8">
        <f>COUNTIFS('Auditorías Riesgos 2019-2023'!B:B,$G$5,'Auditorías Riesgos 2019-2023'!H:H,B19)</f>
        <v>1</v>
      </c>
      <c r="H19" s="8">
        <f>COUNTIFS('Auditorías Riesgos 2019-2023'!B:B,$H$5,'Auditorías Riesgos 2019-2023'!H:H,B19)</f>
        <v>2</v>
      </c>
      <c r="I19" s="8">
        <f>COUNTIFS('Auditorías Riesgos 2019-2023'!B:B,$I$5,'Auditorías Riesgos 2019-2023'!H:H,B19)</f>
        <v>1</v>
      </c>
      <c r="J19" s="13">
        <f t="shared" si="7"/>
        <v>4</v>
      </c>
      <c r="K19" s="8">
        <f>IF(J19=0,"-",IF(J19&lt;&gt;0,SUMIF('Auditorías Riesgos 2019-2023'!H:H,B19,'Auditorías Riesgos 2019-2023'!K:K)))</f>
        <v>3</v>
      </c>
      <c r="L19" s="140">
        <f>IF(J19=0,"-",IF(J19&lt;&gt;0,COUNTIFS('Auditorías Riesgos 2019-2023'!H:H,B19,'Auditorías Riesgos 2019-2023'!L:L,"SI")))</f>
        <v>2</v>
      </c>
      <c r="M19" s="148">
        <f t="shared" si="0"/>
        <v>0.5</v>
      </c>
      <c r="N19" s="8">
        <f>IF(J19=0,"-",IF(J19&lt;&gt;0,SUMIF('Auditorías Riesgos 2019-2023'!H:H,B19,'Auditorías Riesgos 2019-2023'!O:O)))</f>
        <v>20</v>
      </c>
      <c r="O19" s="151">
        <f>IF(J19=0,"-",IF(J19&lt;&gt;0,SUMIF('Auditorías Riesgos 2019-2023'!H:H,B19,'Auditorías Riesgos 2019-2023'!P:P)))</f>
        <v>3</v>
      </c>
      <c r="P19" s="148">
        <f t="shared" si="1"/>
        <v>0.25</v>
      </c>
      <c r="Q19" s="151">
        <f>IF(J19=0,"-",IF(J19&lt;&gt;0,SUMIF('Auditorías Riesgos 2019-2023'!H:H,B19,'Auditorías Riesgos 2019-2023'!Q:Q)))</f>
        <v>9</v>
      </c>
      <c r="R19" s="148">
        <f t="shared" si="2"/>
        <v>0.75</v>
      </c>
      <c r="S19" s="151">
        <f>IF(J19=0,"-",IF(J19&lt;&gt;0,SUMIF('Auditorías Riesgos 2019-2023'!H:H,B19,'Auditorías Riesgos 2019-2023'!R:R)))</f>
        <v>0</v>
      </c>
      <c r="T19" s="148">
        <f t="shared" si="3"/>
        <v>0</v>
      </c>
      <c r="U19" s="8">
        <f>IF(J19=0,"-",IF(J19&lt;&gt;0,SUMIF('Auditorías Riesgos 2019-2023'!H:H,B19,'Auditorías Riesgos 2019-2023'!S:S)))</f>
        <v>8</v>
      </c>
      <c r="V19" s="8">
        <f t="shared" si="4"/>
        <v>12</v>
      </c>
      <c r="W19" s="151">
        <f>IF(J19=0,"-",IF(J19&lt;&gt;0,SUMIF('Auditorías Riesgos 2019-2023'!H:H,B19,'Auditorías Riesgos 2019-2023'!T:T)))</f>
        <v>0</v>
      </c>
      <c r="X19" s="148">
        <f t="shared" si="5"/>
        <v>0</v>
      </c>
    </row>
    <row r="20" spans="2:24" ht="21" customHeight="1">
      <c r="B20" s="17" t="s">
        <v>67</v>
      </c>
      <c r="C20" s="104"/>
      <c r="D20" s="105"/>
      <c r="E20" s="8">
        <f>COUNTIFS('Auditorías Riesgos 2019-2023'!B:B,$E$5,'Auditorías Riesgos 2019-2023'!H:H,B20)</f>
        <v>0</v>
      </c>
      <c r="F20" s="8">
        <f>COUNTIFS('Auditorías Riesgos 2019-2023'!B:B,$F$5,'Auditorías Riesgos 2019-2023'!H:H,B20)</f>
        <v>2</v>
      </c>
      <c r="G20" s="8">
        <f>COUNTIFS('Auditorías Riesgos 2019-2023'!B:B,$G$5,'Auditorías Riesgos 2019-2023'!H:H,B20)</f>
        <v>2</v>
      </c>
      <c r="H20" s="8">
        <f>COUNTIFS('Auditorías Riesgos 2019-2023'!B:B,$H$5,'Auditorías Riesgos 2019-2023'!H:H,B20)</f>
        <v>0</v>
      </c>
      <c r="I20" s="8">
        <f>COUNTIFS('Auditorías Riesgos 2019-2023'!B:B,$I$5,'Auditorías Riesgos 2019-2023'!H:H,B20)</f>
        <v>1</v>
      </c>
      <c r="J20" s="13">
        <f t="shared" si="7"/>
        <v>5</v>
      </c>
      <c r="K20" s="8">
        <f>IF(J20=0,"-",IF(J20&lt;&gt;0,SUMIF('Auditorías Riesgos 2019-2023'!H:H,B20,'Auditorías Riesgos 2019-2023'!K:K)))</f>
        <v>40</v>
      </c>
      <c r="L20" s="140">
        <f>IF(J20=0,"-",IF(J20&lt;&gt;0,COUNTIFS('Auditorías Riesgos 2019-2023'!H:H,B20,'Auditorías Riesgos 2019-2023'!L:L,"SI")))</f>
        <v>4</v>
      </c>
      <c r="M20" s="148">
        <f t="shared" si="0"/>
        <v>0.8</v>
      </c>
      <c r="N20" s="8">
        <f>IF(J20=0,"-",IF(J20&lt;&gt;0,SUMIF('Auditorías Riesgos 2019-2023'!H:H,B20,'Auditorías Riesgos 2019-2023'!O:O)))</f>
        <v>34</v>
      </c>
      <c r="O20" s="151">
        <f>IF(J20=0,"-",IF(J20&lt;&gt;0,SUMIF('Auditorías Riesgos 2019-2023'!H:H,B20,'Auditorías Riesgos 2019-2023'!P:P)))</f>
        <v>4</v>
      </c>
      <c r="P20" s="148">
        <f t="shared" si="1"/>
        <v>0.22222222222222221</v>
      </c>
      <c r="Q20" s="151">
        <f>IF(J20=0,"-",IF(J20&lt;&gt;0,SUMIF('Auditorías Riesgos 2019-2023'!H:H,B20,'Auditorías Riesgos 2019-2023'!Q:Q)))</f>
        <v>5</v>
      </c>
      <c r="R20" s="148">
        <f t="shared" si="2"/>
        <v>0.27777777777777779</v>
      </c>
      <c r="S20" s="151">
        <f>IF(J20=0,"-",IF(J20&lt;&gt;0,SUMIF('Auditorías Riesgos 2019-2023'!H:H,B20,'Auditorías Riesgos 2019-2023'!R:R)))</f>
        <v>9</v>
      </c>
      <c r="T20" s="148">
        <f t="shared" si="3"/>
        <v>0.5</v>
      </c>
      <c r="U20" s="8">
        <f>IF(J20=0,"-",IF(J20&lt;&gt;0,SUMIF('Auditorías Riesgos 2019-2023'!H:H,B20,'Auditorías Riesgos 2019-2023'!S:S)))</f>
        <v>16</v>
      </c>
      <c r="V20" s="8">
        <f t="shared" si="4"/>
        <v>18</v>
      </c>
      <c r="W20" s="151">
        <f>IF(J20=0,"-",IF(J20&lt;&gt;0,SUMIF('Auditorías Riesgos 2019-2023'!H:H,B20,'Auditorías Riesgos 2019-2023'!T:T)))</f>
        <v>12</v>
      </c>
      <c r="X20" s="148">
        <f t="shared" si="5"/>
        <v>0.3</v>
      </c>
    </row>
    <row r="21" spans="2:24" ht="21" customHeight="1">
      <c r="B21" s="17" t="s">
        <v>36</v>
      </c>
      <c r="C21" s="104"/>
      <c r="D21" s="105"/>
      <c r="E21" s="8">
        <f>COUNTIFS('Auditorías Riesgos 2019-2023'!B:B,$E$5,'Auditorías Riesgos 2019-2023'!H:H,B21)</f>
        <v>2</v>
      </c>
      <c r="F21" s="8">
        <f>COUNTIFS('Auditorías Riesgos 2019-2023'!B:B,$F$5,'Auditorías Riesgos 2019-2023'!H:H,B21)</f>
        <v>1</v>
      </c>
      <c r="G21" s="8">
        <f>COUNTIFS('Auditorías Riesgos 2019-2023'!B:B,$G$5,'Auditorías Riesgos 2019-2023'!H:H,B21)</f>
        <v>4</v>
      </c>
      <c r="H21" s="8">
        <f>COUNTIFS('Auditorías Riesgos 2019-2023'!B:B,$H$5,'Auditorías Riesgos 2019-2023'!H:H,B21)</f>
        <v>3</v>
      </c>
      <c r="I21" s="8">
        <f>COUNTIFS('Auditorías Riesgos 2019-2023'!B:B,$I$5,'Auditorías Riesgos 2019-2023'!H:H,B21)</f>
        <v>8</v>
      </c>
      <c r="J21" s="13">
        <f t="shared" si="7"/>
        <v>18</v>
      </c>
      <c r="K21" s="8">
        <f>IF(J21=0,"-",IF(J21&lt;&gt;0,SUMIF('Auditorías Riesgos 2019-2023'!H:H,B21,'Auditorías Riesgos 2019-2023'!K:K)))</f>
        <v>110</v>
      </c>
      <c r="L21" s="140">
        <f>IF(J21=0,"-",IF(J21&lt;&gt;0,COUNTIFS('Auditorías Riesgos 2019-2023'!H:H,B21,'Auditorías Riesgos 2019-2023'!L:L,"SI")))</f>
        <v>4</v>
      </c>
      <c r="M21" s="148">
        <f t="shared" si="0"/>
        <v>0.22222222222222221</v>
      </c>
      <c r="N21" s="8">
        <f>IF(J21=0,"-",IF(J21&lt;&gt;0,SUMIF('Auditorías Riesgos 2019-2023'!H:H,B21,'Auditorías Riesgos 2019-2023'!O:O)))</f>
        <v>29</v>
      </c>
      <c r="O21" s="151">
        <f>IF(J21=0,"-",IF(J21&lt;&gt;0,SUMIF('Auditorías Riesgos 2019-2023'!H:H,B21,'Auditorías Riesgos 2019-2023'!P:P)))</f>
        <v>2</v>
      </c>
      <c r="P21" s="148">
        <f t="shared" si="1"/>
        <v>7.6923076923076927E-2</v>
      </c>
      <c r="Q21" s="151">
        <f>IF(J21=0,"-",IF(J21&lt;&gt;0,SUMIF('Auditorías Riesgos 2019-2023'!H:H,B21,'Auditorías Riesgos 2019-2023'!Q:Q)))</f>
        <v>15</v>
      </c>
      <c r="R21" s="148">
        <f t="shared" si="2"/>
        <v>0.57692307692307687</v>
      </c>
      <c r="S21" s="151">
        <f>IF(J21=0,"-",IF(J21&lt;&gt;0,SUMIF('Auditorías Riesgos 2019-2023'!H:H,B21,'Auditorías Riesgos 2019-2023'!R:R)))</f>
        <v>9</v>
      </c>
      <c r="T21" s="148">
        <f t="shared" si="3"/>
        <v>0.34615384615384615</v>
      </c>
      <c r="U21" s="8">
        <f>IF(J21=0,"-",IF(J21&lt;&gt;0,SUMIF('Auditorías Riesgos 2019-2023'!H:H,B21,'Auditorías Riesgos 2019-2023'!S:S)))</f>
        <v>3</v>
      </c>
      <c r="V21" s="8">
        <f t="shared" si="4"/>
        <v>26</v>
      </c>
      <c r="W21" s="151">
        <f>IF(J21=0,"-",IF(J21&lt;&gt;0,SUMIF('Auditorías Riesgos 2019-2023'!H:H,B21,'Auditorías Riesgos 2019-2023'!T:T)))</f>
        <v>1</v>
      </c>
      <c r="X21" s="148">
        <f t="shared" si="5"/>
        <v>9.0909090909090905E-3</v>
      </c>
    </row>
    <row r="22" spans="2:24" ht="21" customHeight="1">
      <c r="B22" s="17" t="s">
        <v>106</v>
      </c>
      <c r="C22" s="104"/>
      <c r="D22" s="105"/>
      <c r="E22" s="8">
        <f>COUNTIFS('Auditorías Riesgos 2019-2023'!B:B,$E$5,'Auditorías Riesgos 2019-2023'!H:H,B22)</f>
        <v>0</v>
      </c>
      <c r="F22" s="8">
        <f>COUNTIFS('Auditorías Riesgos 2019-2023'!B:B,$F$5,'Auditorías Riesgos 2019-2023'!H:H,B22)</f>
        <v>0</v>
      </c>
      <c r="G22" s="8">
        <f>COUNTIFS('Auditorías Riesgos 2019-2023'!B:B,$G$5,'Auditorías Riesgos 2019-2023'!H:H,B22)</f>
        <v>1</v>
      </c>
      <c r="H22" s="8">
        <f>COUNTIFS('Auditorías Riesgos 2019-2023'!B:B,$H$5,'Auditorías Riesgos 2019-2023'!H:H,B22)</f>
        <v>0</v>
      </c>
      <c r="I22" s="8">
        <f>COUNTIFS('Auditorías Riesgos 2019-2023'!B:B,$I$5,'Auditorías Riesgos 2019-2023'!H:H,B22)</f>
        <v>4</v>
      </c>
      <c r="J22" s="13">
        <f t="shared" si="7"/>
        <v>5</v>
      </c>
      <c r="K22" s="8">
        <f>IF(J22=0,"-",IF(J22&lt;&gt;0,SUMIF('Auditorías Riesgos 2019-2023'!H:H,B22,'Auditorías Riesgos 2019-2023'!K:K)))</f>
        <v>16</v>
      </c>
      <c r="L22" s="140">
        <f>IF(J22=0,"-",IF(J22&lt;&gt;0,COUNTIFS('Auditorías Riesgos 2019-2023'!H:H,B22,'Auditorías Riesgos 2019-2023'!L:L,"SI")))</f>
        <v>2</v>
      </c>
      <c r="M22" s="148">
        <f t="shared" si="0"/>
        <v>0.4</v>
      </c>
      <c r="N22" s="8">
        <f>IF(J22=0,"-",IF(J22&lt;&gt;0,SUMIF('Auditorías Riesgos 2019-2023'!H:H,B22,'Auditorías Riesgos 2019-2023'!O:O)))</f>
        <v>10</v>
      </c>
      <c r="O22" s="151">
        <f>IF(J22=0,"-",IF(J22&lt;&gt;0,SUMIF('Auditorías Riesgos 2019-2023'!H:H,B22,'Auditorías Riesgos 2019-2023'!P:P)))</f>
        <v>0</v>
      </c>
      <c r="P22" s="148" t="str">
        <f t="shared" si="1"/>
        <v>-</v>
      </c>
      <c r="Q22" s="151">
        <f>IF(J22=0,"-",IF(J22&lt;&gt;0,SUMIF('Auditorías Riesgos 2019-2023'!H:H,B22,'Auditorías Riesgos 2019-2023'!Q:Q)))</f>
        <v>0</v>
      </c>
      <c r="R22" s="148" t="str">
        <f t="shared" si="2"/>
        <v>-</v>
      </c>
      <c r="S22" s="151">
        <f>IF(J22=0,"-",IF(J22&lt;&gt;0,SUMIF('Auditorías Riesgos 2019-2023'!H:H,B22,'Auditorías Riesgos 2019-2023'!R:R)))</f>
        <v>0</v>
      </c>
      <c r="T22" s="148" t="str">
        <f t="shared" si="3"/>
        <v>-</v>
      </c>
      <c r="U22" s="8">
        <f>IF(J22=0,"-",IF(J22&lt;&gt;0,SUMIF('Auditorías Riesgos 2019-2023'!H:H,B22,'Auditorías Riesgos 2019-2023'!S:S)))</f>
        <v>10</v>
      </c>
      <c r="V22" s="8">
        <f t="shared" si="4"/>
        <v>0</v>
      </c>
      <c r="W22" s="151">
        <f>IF(J22=0,"-",IF(J22&lt;&gt;0,SUMIF('Auditorías Riesgos 2019-2023'!H:H,B22,'Auditorías Riesgos 2019-2023'!T:T)))</f>
        <v>0</v>
      </c>
      <c r="X22" s="148">
        <f t="shared" si="5"/>
        <v>0</v>
      </c>
    </row>
    <row r="23" spans="2:24" ht="21" customHeight="1">
      <c r="B23" s="17" t="s">
        <v>41</v>
      </c>
      <c r="C23" s="104"/>
      <c r="D23" s="105"/>
      <c r="E23" s="8">
        <f>COUNTIFS('Auditorías Riesgos 2019-2023'!B:B,$E$5,'Auditorías Riesgos 2019-2023'!H:H,B23)</f>
        <v>1</v>
      </c>
      <c r="F23" s="8">
        <f>COUNTIFS('Auditorías Riesgos 2019-2023'!B:B,$F$5,'Auditorías Riesgos 2019-2023'!H:H,B23)</f>
        <v>2</v>
      </c>
      <c r="G23" s="8">
        <f>COUNTIFS('Auditorías Riesgos 2019-2023'!B:B,$G$5,'Auditorías Riesgos 2019-2023'!H:H,B23)</f>
        <v>4</v>
      </c>
      <c r="H23" s="8">
        <f>COUNTIFS('Auditorías Riesgos 2019-2023'!B:B,$H$5,'Auditorías Riesgos 2019-2023'!H:H,B23)</f>
        <v>4</v>
      </c>
      <c r="I23" s="8">
        <f>COUNTIFS('Auditorías Riesgos 2019-2023'!B:B,$I$5,'Auditorías Riesgos 2019-2023'!H:H,B23)</f>
        <v>1</v>
      </c>
      <c r="J23" s="13">
        <f t="shared" si="7"/>
        <v>12</v>
      </c>
      <c r="K23" s="8">
        <f>IF(J23=0,"-",IF(J23&lt;&gt;0,SUMIF('Auditorías Riesgos 2019-2023'!H:H,B23,'Auditorías Riesgos 2019-2023'!K:K)))</f>
        <v>46</v>
      </c>
      <c r="L23" s="140">
        <f>IF(J23=0,"-",IF(J23&lt;&gt;0,COUNTIFS('Auditorías Riesgos 2019-2023'!H:H,B23,'Auditorías Riesgos 2019-2023'!L:L,"SI")))</f>
        <v>4</v>
      </c>
      <c r="M23" s="148">
        <f t="shared" si="0"/>
        <v>0.33333333333333331</v>
      </c>
      <c r="N23" s="8">
        <f>IF(J23=0,"-",IF(J23&lt;&gt;0,SUMIF('Auditorías Riesgos 2019-2023'!H:H,B23,'Auditorías Riesgos 2019-2023'!O:O)))</f>
        <v>40</v>
      </c>
      <c r="O23" s="151">
        <f>IF(J23=0,"-",IF(J23&lt;&gt;0,SUMIF('Auditorías Riesgos 2019-2023'!H:H,B23,'Auditorías Riesgos 2019-2023'!P:P)))</f>
        <v>0</v>
      </c>
      <c r="P23" s="148">
        <f t="shared" si="1"/>
        <v>0</v>
      </c>
      <c r="Q23" s="151">
        <f>IF(J23=0,"-",IF(J23&lt;&gt;0,SUMIF('Auditorías Riesgos 2019-2023'!H:H,B23,'Auditorías Riesgos 2019-2023'!Q:Q)))</f>
        <v>3</v>
      </c>
      <c r="R23" s="148">
        <f t="shared" si="2"/>
        <v>0.21428571428571427</v>
      </c>
      <c r="S23" s="151">
        <f>IF(J23=0,"-",IF(J23&lt;&gt;0,SUMIF('Auditorías Riesgos 2019-2023'!H:H,B23,'Auditorías Riesgos 2019-2023'!R:R)))</f>
        <v>11</v>
      </c>
      <c r="T23" s="148">
        <f t="shared" si="3"/>
        <v>0.7857142857142857</v>
      </c>
      <c r="U23" s="8">
        <f>IF(J23=0,"-",IF(J23&lt;&gt;0,SUMIF('Auditorías Riesgos 2019-2023'!H:H,B23,'Auditorías Riesgos 2019-2023'!S:S)))</f>
        <v>26</v>
      </c>
      <c r="V23" s="8">
        <f t="shared" si="4"/>
        <v>14</v>
      </c>
      <c r="W23" s="151">
        <f>IF(J23=0,"-",IF(J23&lt;&gt;0,SUMIF('Auditorías Riesgos 2019-2023'!H:H,B23,'Auditorías Riesgos 2019-2023'!T:T)))</f>
        <v>0</v>
      </c>
      <c r="X23" s="148">
        <f t="shared" si="5"/>
        <v>0</v>
      </c>
    </row>
    <row r="24" spans="2:24" ht="21" customHeight="1">
      <c r="B24" s="17" t="s">
        <v>55</v>
      </c>
      <c r="C24" s="104"/>
      <c r="D24" s="105"/>
      <c r="E24" s="8">
        <f>COUNTIFS('Auditorías Riesgos 2019-2023'!B:B,$E$5,'Auditorías Riesgos 2019-2023'!H:H,B24)</f>
        <v>1</v>
      </c>
      <c r="F24" s="8">
        <f>COUNTIFS('Auditorías Riesgos 2019-2023'!B:B,$F$5,'Auditorías Riesgos 2019-2023'!H:H,B24)</f>
        <v>0</v>
      </c>
      <c r="G24" s="8">
        <f>COUNTIFS('Auditorías Riesgos 2019-2023'!B:B,$G$5,'Auditorías Riesgos 2019-2023'!H:H,B24)</f>
        <v>1</v>
      </c>
      <c r="H24" s="8">
        <f>COUNTIFS('Auditorías Riesgos 2019-2023'!B:B,$H$5,'Auditorías Riesgos 2019-2023'!H:H,B24)</f>
        <v>0</v>
      </c>
      <c r="I24" s="8">
        <f>COUNTIFS('Auditorías Riesgos 2019-2023'!B:B,$I$5,'Auditorías Riesgos 2019-2023'!H:H,B24)</f>
        <v>0</v>
      </c>
      <c r="J24" s="13">
        <f t="shared" si="7"/>
        <v>2</v>
      </c>
      <c r="K24" s="8">
        <f>IF(J24=0,"-",IF(J24&lt;&gt;0,SUMIF('Auditorías Riesgos 2019-2023'!H:H,B24,'Auditorías Riesgos 2019-2023'!K:K)))</f>
        <v>8</v>
      </c>
      <c r="L24" s="140">
        <f>IF(J24=0,"-",IF(J24&lt;&gt;0,COUNTIFS('Auditorías Riesgos 2019-2023'!H:H,B24,'Auditorías Riesgos 2019-2023'!L:L,"SI")))</f>
        <v>1</v>
      </c>
      <c r="M24" s="148">
        <f t="shared" si="0"/>
        <v>0.5</v>
      </c>
      <c r="N24" s="8">
        <f>IF(J24=0,"-",IF(J24&lt;&gt;0,SUMIF('Auditorías Riesgos 2019-2023'!H:H,B24,'Auditorías Riesgos 2019-2023'!O:O)))</f>
        <v>15</v>
      </c>
      <c r="O24" s="151">
        <f>IF(J24=0,"-",IF(J24&lt;&gt;0,SUMIF('Auditorías Riesgos 2019-2023'!H:H,B24,'Auditorías Riesgos 2019-2023'!P:P)))</f>
        <v>0</v>
      </c>
      <c r="P24" s="148" t="str">
        <f t="shared" si="1"/>
        <v>-</v>
      </c>
      <c r="Q24" s="151">
        <f>IF(J24=0,"-",IF(J24&lt;&gt;0,SUMIF('Auditorías Riesgos 2019-2023'!H:H,B24,'Auditorías Riesgos 2019-2023'!Q:Q)))</f>
        <v>0</v>
      </c>
      <c r="R24" s="148" t="str">
        <f t="shared" si="2"/>
        <v>-</v>
      </c>
      <c r="S24" s="151">
        <f>IF(J24=0,"-",IF(J24&lt;&gt;0,SUMIF('Auditorías Riesgos 2019-2023'!H:H,B24,'Auditorías Riesgos 2019-2023'!R:R)))</f>
        <v>0</v>
      </c>
      <c r="T24" s="148" t="str">
        <f t="shared" si="3"/>
        <v>-</v>
      </c>
      <c r="U24" s="8">
        <f>IF(J24=0,"-",IF(J24&lt;&gt;0,SUMIF('Auditorías Riesgos 2019-2023'!H:H,B24,'Auditorías Riesgos 2019-2023'!S:S)))</f>
        <v>15</v>
      </c>
      <c r="V24" s="8">
        <f t="shared" si="4"/>
        <v>0</v>
      </c>
      <c r="W24" s="151">
        <f>IF(J24=0,"-",IF(J24&lt;&gt;0,SUMIF('Auditorías Riesgos 2019-2023'!H:H,B24,'Auditorías Riesgos 2019-2023'!T:T)))</f>
        <v>0</v>
      </c>
      <c r="X24" s="148">
        <f t="shared" si="5"/>
        <v>0</v>
      </c>
    </row>
    <row r="25" spans="2:24" ht="21" customHeight="1">
      <c r="B25" s="17" t="s">
        <v>186</v>
      </c>
      <c r="C25" s="104"/>
      <c r="D25" s="105"/>
      <c r="E25" s="8">
        <f>COUNTIFS('Auditorías Riesgos 2019-2023'!B:B,$E$5,'Auditorías Riesgos 2019-2023'!H:H,B25)</f>
        <v>0</v>
      </c>
      <c r="F25" s="8">
        <f>COUNTIFS('Auditorías Riesgos 2019-2023'!B:B,$F$5,'Auditorías Riesgos 2019-2023'!H:H,B25)</f>
        <v>0</v>
      </c>
      <c r="G25" s="8">
        <f>COUNTIFS('Auditorías Riesgos 2019-2023'!B:B,$G$5,'Auditorías Riesgos 2019-2023'!H:H,B25)</f>
        <v>0</v>
      </c>
      <c r="H25" s="8">
        <f>COUNTIFS('Auditorías Riesgos 2019-2023'!B:B,$H$5,'Auditorías Riesgos 2019-2023'!H:H,B25)</f>
        <v>0</v>
      </c>
      <c r="I25" s="8">
        <f>COUNTIFS('Auditorías Riesgos 2019-2023'!B:B,$I$5,'Auditorías Riesgos 2019-2023'!H:H,B25)</f>
        <v>1</v>
      </c>
      <c r="J25" s="13">
        <f t="shared" si="7"/>
        <v>1</v>
      </c>
      <c r="K25" s="8">
        <f>IF(J25=0,"-",IF(J25&lt;&gt;0,SUMIF('Auditorías Riesgos 2019-2023'!H:H,B25,'Auditorías Riesgos 2019-2023'!K:K)))</f>
        <v>9</v>
      </c>
      <c r="L25" s="140">
        <f>IF(J25=0,"-",IF(J25&lt;&gt;0,COUNTIFS('Auditorías Riesgos 2019-2023'!H:H,B25,'Auditorías Riesgos 2019-2023'!L:L,"SI")))</f>
        <v>0</v>
      </c>
      <c r="M25" s="148">
        <f t="shared" si="0"/>
        <v>0</v>
      </c>
      <c r="N25" s="8">
        <f>IF(J25=0,"-",IF(J25&lt;&gt;0,SUMIF('Auditorías Riesgos 2019-2023'!H:H,B25,'Auditorías Riesgos 2019-2023'!O:O)))</f>
        <v>0</v>
      </c>
      <c r="O25" s="151">
        <f>IF(J25=0,"-",IF(J25&lt;&gt;0,SUMIF('Auditorías Riesgos 2019-2023'!H:H,B25,'Auditorías Riesgos 2019-2023'!P:P)))</f>
        <v>0</v>
      </c>
      <c r="P25" s="148" t="str">
        <f t="shared" si="1"/>
        <v>-</v>
      </c>
      <c r="Q25" s="151">
        <f>IF(J25=0,"-",IF(J25&lt;&gt;0,SUMIF('Auditorías Riesgos 2019-2023'!H:H,B25,'Auditorías Riesgos 2019-2023'!Q:Q)))</f>
        <v>0</v>
      </c>
      <c r="R25" s="148" t="str">
        <f t="shared" si="2"/>
        <v>-</v>
      </c>
      <c r="S25" s="151">
        <f>IF(J25=0,"-",IF(J25&lt;&gt;0,SUMIF('Auditorías Riesgos 2019-2023'!H:H,B25,'Auditorías Riesgos 2019-2023'!R:R)))</f>
        <v>0</v>
      </c>
      <c r="T25" s="148" t="str">
        <f t="shared" si="3"/>
        <v>-</v>
      </c>
      <c r="U25" s="8">
        <f>IF(J25=0,"-",IF(J25&lt;&gt;0,SUMIF('Auditorías Riesgos 2019-2023'!H:H,B25,'Auditorías Riesgos 2019-2023'!S:S)))</f>
        <v>0</v>
      </c>
      <c r="V25" s="8">
        <f t="shared" si="4"/>
        <v>0</v>
      </c>
      <c r="W25" s="151">
        <f>IF(J25=0,"-",IF(J25&lt;&gt;0,SUMIF('Auditorías Riesgos 2019-2023'!H:H,B25,'Auditorías Riesgos 2019-2023'!T:T)))</f>
        <v>0</v>
      </c>
      <c r="X25" s="148">
        <f t="shared" si="5"/>
        <v>0</v>
      </c>
    </row>
    <row r="26" spans="2:24" ht="21" customHeight="1">
      <c r="B26" s="17" t="s">
        <v>51</v>
      </c>
      <c r="C26" s="104"/>
      <c r="D26" s="105"/>
      <c r="E26" s="8">
        <f>COUNTIFS('Auditorías Riesgos 2019-2023'!B:B,$E$5,'Auditorías Riesgos 2019-2023'!H:H,B26)</f>
        <v>1</v>
      </c>
      <c r="F26" s="8">
        <f>COUNTIFS('Auditorías Riesgos 2019-2023'!B:B,$F$5,'Auditorías Riesgos 2019-2023'!H:H,B26)</f>
        <v>0</v>
      </c>
      <c r="G26" s="8">
        <f>COUNTIFS('Auditorías Riesgos 2019-2023'!B:B,$G$5,'Auditorías Riesgos 2019-2023'!H:H,B26)</f>
        <v>1</v>
      </c>
      <c r="H26" s="8">
        <f>COUNTIFS('Auditorías Riesgos 2019-2023'!B:B,$H$5,'Auditorías Riesgos 2019-2023'!H:H,B26)</f>
        <v>0</v>
      </c>
      <c r="I26" s="8">
        <f>COUNTIFS('Auditorías Riesgos 2019-2023'!B:B,$I$5,'Auditorías Riesgos 2019-2023'!H:H,B26)</f>
        <v>0</v>
      </c>
      <c r="J26" s="13">
        <f t="shared" si="7"/>
        <v>2</v>
      </c>
      <c r="K26" s="8">
        <f>IF(J26=0,"-",IF(J26&lt;&gt;0,SUMIF('Auditorías Riesgos 2019-2023'!H:H,B26,'Auditorías Riesgos 2019-2023'!K:K)))</f>
        <v>10</v>
      </c>
      <c r="L26" s="140">
        <f>IF(J26=0,"-",IF(J26&lt;&gt;0,COUNTIFS('Auditorías Riesgos 2019-2023'!H:H,B26,'Auditorías Riesgos 2019-2023'!L:L,"SI")))</f>
        <v>2</v>
      </c>
      <c r="M26" s="148">
        <f t="shared" si="0"/>
        <v>1</v>
      </c>
      <c r="N26" s="8">
        <f>IF(J26=0,"-",IF(J26&lt;&gt;0,SUMIF('Auditorías Riesgos 2019-2023'!H:H,B26,'Auditorías Riesgos 2019-2023'!O:O)))</f>
        <v>23</v>
      </c>
      <c r="O26" s="151">
        <f>IF(J26=0,"-",IF(J26&lt;&gt;0,SUMIF('Auditorías Riesgos 2019-2023'!H:H,B26,'Auditorías Riesgos 2019-2023'!P:P)))</f>
        <v>5</v>
      </c>
      <c r="P26" s="148">
        <f t="shared" si="1"/>
        <v>0.21739130434782608</v>
      </c>
      <c r="Q26" s="151">
        <f>IF(J26=0,"-",IF(J26&lt;&gt;0,SUMIF('Auditorías Riesgos 2019-2023'!H:H,B26,'Auditorías Riesgos 2019-2023'!Q:Q)))</f>
        <v>6</v>
      </c>
      <c r="R26" s="148">
        <f t="shared" si="2"/>
        <v>0.2608695652173913</v>
      </c>
      <c r="S26" s="151">
        <f>IF(J26=0,"-",IF(J26&lt;&gt;0,SUMIF('Auditorías Riesgos 2019-2023'!H:H,B26,'Auditorías Riesgos 2019-2023'!R:R)))</f>
        <v>12</v>
      </c>
      <c r="T26" s="148">
        <f t="shared" si="3"/>
        <v>0.52173913043478259</v>
      </c>
      <c r="U26" s="8">
        <f>IF(J26=0,"-",IF(J26&lt;&gt;0,SUMIF('Auditorías Riesgos 2019-2023'!H:H,B26,'Auditorías Riesgos 2019-2023'!S:S)))</f>
        <v>0</v>
      </c>
      <c r="V26" s="8">
        <f t="shared" si="4"/>
        <v>23</v>
      </c>
      <c r="W26" s="151">
        <f>IF(J26=0,"-",IF(J26&lt;&gt;0,SUMIF('Auditorías Riesgos 2019-2023'!H:H,B26,'Auditorías Riesgos 2019-2023'!T:T)))</f>
        <v>2</v>
      </c>
      <c r="X26" s="148">
        <f t="shared" si="5"/>
        <v>0.2</v>
      </c>
    </row>
    <row r="27" spans="2:24" ht="21" customHeight="1">
      <c r="B27" s="17" t="s">
        <v>205</v>
      </c>
      <c r="C27" s="104"/>
      <c r="D27" s="105"/>
      <c r="E27" s="8">
        <f>COUNTIFS('Auditorías Riesgos 2019-2023'!B:B,$E$5,'Auditorías Riesgos 2019-2023'!H:H,B27)</f>
        <v>0</v>
      </c>
      <c r="F27" s="8">
        <f>COUNTIFS('Auditorías Riesgos 2019-2023'!B:B,$F$5,'Auditorías Riesgos 2019-2023'!H:H,B27)</f>
        <v>0</v>
      </c>
      <c r="G27" s="8">
        <f>COUNTIFS('Auditorías Riesgos 2019-2023'!B:B,$G$5,'Auditorías Riesgos 2019-2023'!H:H,B27)</f>
        <v>0</v>
      </c>
      <c r="H27" s="8">
        <f>COUNTIFS('Auditorías Riesgos 2019-2023'!B:B,$H$5,'Auditorías Riesgos 2019-2023'!H:H,B27)</f>
        <v>0</v>
      </c>
      <c r="I27" s="8">
        <f>COUNTIFS('Auditorías Riesgos 2019-2023'!B:B,$I$5,'Auditorías Riesgos 2019-2023'!H:H,B27)</f>
        <v>0</v>
      </c>
      <c r="J27" s="13">
        <f t="shared" si="7"/>
        <v>0</v>
      </c>
      <c r="K27" s="8" t="str">
        <f>IF(J27=0,"-",IF(J27&lt;&gt;0,SUMIF('Auditorías Riesgos 2019-2023'!H:H,B27,'Auditorías Riesgos 2019-2023'!K:K)))</f>
        <v>-</v>
      </c>
      <c r="L27" s="140" t="str">
        <f>IF(J27=0,"-",IF(J27&lt;&gt;0,COUNTIFS('Auditorías Riesgos 2019-2023'!H:H,B27,'Auditorías Riesgos 2019-2023'!L:L,"SI")))</f>
        <v>-</v>
      </c>
      <c r="M27" s="148" t="str">
        <f t="shared" si="0"/>
        <v>-</v>
      </c>
      <c r="N27" s="8" t="str">
        <f>IF(J27=0,"-",IF(J27&lt;&gt;0,SUMIF('Auditorías Riesgos 2019-2023'!H:H,B27,'Auditorías Riesgos 2019-2023'!O:O)))</f>
        <v>-</v>
      </c>
      <c r="O27" s="151" t="str">
        <f>IF(J27=0,"-",IF(J27&lt;&gt;0,SUMIF('Auditorías Riesgos 2019-2023'!H:H,B27,'Auditorías Riesgos 2019-2023'!P:P)))</f>
        <v>-</v>
      </c>
      <c r="P27" s="148" t="str">
        <f t="shared" si="1"/>
        <v>-</v>
      </c>
      <c r="Q27" s="151" t="str">
        <f>IF(J27=0,"-",IF(J27&lt;&gt;0,SUMIF('Auditorías Riesgos 2019-2023'!H:H,B27,'Auditorías Riesgos 2019-2023'!Q:Q)))</f>
        <v>-</v>
      </c>
      <c r="R27" s="148" t="str">
        <f t="shared" si="2"/>
        <v>-</v>
      </c>
      <c r="S27" s="151" t="str">
        <f>IF(J27=0,"-",IF(J27&lt;&gt;0,SUMIF('Auditorías Riesgos 2019-2023'!H:H,B27,'Auditorías Riesgos 2019-2023'!R:R)))</f>
        <v>-</v>
      </c>
      <c r="T27" s="148" t="str">
        <f t="shared" si="3"/>
        <v>-</v>
      </c>
      <c r="U27" s="8" t="str">
        <f>IF(J27=0,"-",IF(J27&lt;&gt;0,SUMIF('Auditorías Riesgos 2019-2023'!H:H,B27,'Auditorías Riesgos 2019-2023'!S:S)))</f>
        <v>-</v>
      </c>
      <c r="V27" s="8" t="str">
        <f t="shared" si="4"/>
        <v>-</v>
      </c>
      <c r="W27" s="151" t="str">
        <f>IF(J27=0,"-",IF(J27&lt;&gt;0,SUMIF('Auditorías Riesgos 2019-2023'!H:H,B27,'Auditorías Riesgos 2019-2023'!T:T)))</f>
        <v>-</v>
      </c>
      <c r="X27" s="148" t="str">
        <f t="shared" si="5"/>
        <v>-</v>
      </c>
    </row>
    <row r="28" spans="2:24" ht="21" customHeight="1">
      <c r="B28" s="18" t="s">
        <v>206</v>
      </c>
      <c r="C28" s="106"/>
      <c r="D28" s="107"/>
      <c r="E28" s="8">
        <f>COUNTIFS('Auditorías Riesgos 2019-2023'!B:B,$E$5,'Auditorías Riesgos 2019-2023'!H:H,B28)</f>
        <v>0</v>
      </c>
      <c r="F28" s="8">
        <f>COUNTIFS('Auditorías Riesgos 2019-2023'!B:B,$F$5,'Auditorías Riesgos 2019-2023'!H:H,B28)</f>
        <v>0</v>
      </c>
      <c r="G28" s="8">
        <f>COUNTIFS('Auditorías Riesgos 2019-2023'!B:B,$G$5,'Auditorías Riesgos 2019-2023'!H:H,B28)</f>
        <v>0</v>
      </c>
      <c r="H28" s="8">
        <f>COUNTIFS('Auditorías Riesgos 2019-2023'!B:B,$H$5,'Auditorías Riesgos 2019-2023'!H:H,B28)</f>
        <v>0</v>
      </c>
      <c r="I28" s="8">
        <f>COUNTIFS('Auditorías Riesgos 2019-2023'!B:B,$I$5,'Auditorías Riesgos 2019-2023'!H:H,B28)</f>
        <v>0</v>
      </c>
      <c r="J28" s="13">
        <f>SUM(E28:I28)</f>
        <v>0</v>
      </c>
      <c r="K28" s="8" t="str">
        <f>IF(J28=0,"-",IF(J28&lt;&gt;0,SUMIF('Auditorías Riesgos 2019-2023'!H:H,B28,'Auditorías Riesgos 2019-2023'!K:K)))</f>
        <v>-</v>
      </c>
      <c r="L28" s="140" t="str">
        <f>IF(J28=0,"-",IF(J28&lt;&gt;0,COUNTIFS('Auditorías Riesgos 2019-2023'!H:H,B28,'Auditorías Riesgos 2019-2023'!L:L,"SI")))</f>
        <v>-</v>
      </c>
      <c r="M28" s="148" t="str">
        <f t="shared" si="0"/>
        <v>-</v>
      </c>
      <c r="N28" s="8" t="str">
        <f>IF(J28=0,"-",IF(J28&lt;&gt;0,SUMIF('Auditorías Riesgos 2019-2023'!H:H,B28,'Auditorías Riesgos 2019-2023'!O:O)))</f>
        <v>-</v>
      </c>
      <c r="O28" s="151" t="str">
        <f>IF(J28=0,"-",IF(J28&lt;&gt;0,SUMIF('Auditorías Riesgos 2019-2023'!H:H,B28,'Auditorías Riesgos 2019-2023'!P:P)))</f>
        <v>-</v>
      </c>
      <c r="P28" s="148" t="str">
        <f t="shared" si="1"/>
        <v>-</v>
      </c>
      <c r="Q28" s="151" t="str">
        <f>IF(J28=0,"-",IF(J28&lt;&gt;0,SUMIF('Auditorías Riesgos 2019-2023'!H:H,B28,'Auditorías Riesgos 2019-2023'!Q:Q)))</f>
        <v>-</v>
      </c>
      <c r="R28" s="148" t="str">
        <f t="shared" si="2"/>
        <v>-</v>
      </c>
      <c r="S28" s="151" t="str">
        <f>IF(J28=0,"-",IF(J28&lt;&gt;0,SUMIF('Auditorías Riesgos 2019-2023'!H:H,B28,'Auditorías Riesgos 2019-2023'!R:R)))</f>
        <v>-</v>
      </c>
      <c r="T28" s="148" t="str">
        <f t="shared" si="3"/>
        <v>-</v>
      </c>
      <c r="U28" s="8" t="str">
        <f>IF(J28=0,"-",IF(J28&lt;&gt;0,SUMIF('Auditorías Riesgos 2019-2023'!H:H,B28,'Auditorías Riesgos 2019-2023'!S:S)))</f>
        <v>-</v>
      </c>
      <c r="V28" s="8" t="str">
        <f t="shared" si="4"/>
        <v>-</v>
      </c>
      <c r="W28" s="151" t="str">
        <f>IF(J28=0,"-",IF(J28&lt;&gt;0,SUMIF('Auditorías Riesgos 2019-2023'!H:H,B28,'Auditorías Riesgos 2019-2023'!T:T)))</f>
        <v>-</v>
      </c>
      <c r="X28" s="148" t="str">
        <f t="shared" si="5"/>
        <v>-</v>
      </c>
    </row>
    <row r="29" spans="2:24" ht="21" customHeight="1">
      <c r="B29" s="19" t="s">
        <v>118</v>
      </c>
      <c r="C29" s="108"/>
      <c r="D29" s="109"/>
      <c r="E29" s="8">
        <f>COUNTIFS('Auditorías Riesgos 2019-2023'!B:B,$E$5,'Auditorías Riesgos 2019-2023'!H:H,B29)</f>
        <v>0</v>
      </c>
      <c r="F29" s="8">
        <f>COUNTIFS('Auditorías Riesgos 2019-2023'!B:B,$F$5,'Auditorías Riesgos 2019-2023'!H:H,B29)</f>
        <v>0</v>
      </c>
      <c r="G29" s="8">
        <f>COUNTIFS('Auditorías Riesgos 2019-2023'!B:B,$G$5,'Auditorías Riesgos 2019-2023'!H:H,B29)</f>
        <v>1</v>
      </c>
      <c r="H29" s="8">
        <f>COUNTIFS('Auditorías Riesgos 2019-2023'!B:B,$H$5,'Auditorías Riesgos 2019-2023'!H:H,B29)</f>
        <v>0</v>
      </c>
      <c r="I29" s="8">
        <f>COUNTIFS('Auditorías Riesgos 2019-2023'!B:B,$I$5,'Auditorías Riesgos 2019-2023'!H:H,B29)</f>
        <v>1</v>
      </c>
      <c r="J29" s="13">
        <f>SUM(E29:I29)</f>
        <v>2</v>
      </c>
      <c r="K29" s="8">
        <f>IF(J29=0,"-",IF(J29&lt;&gt;0,SUMIF('Auditorías Riesgos 2019-2023'!H:H,B29,'Auditorías Riesgos 2019-2023'!K:K)))</f>
        <v>4</v>
      </c>
      <c r="L29" s="140">
        <f>IF(J29=0,"-",IF(J29&lt;&gt;0,COUNTIFS('Auditorías Riesgos 2019-2023'!H:H,B29,'Auditorías Riesgos 2019-2023'!L:L,"SI")))</f>
        <v>1</v>
      </c>
      <c r="M29" s="148">
        <f t="shared" si="0"/>
        <v>0.5</v>
      </c>
      <c r="N29" s="8">
        <f>IF(J29=0,"-",IF(J29&lt;&gt;0,SUMIF('Auditorías Riesgos 2019-2023'!H:H,B29,'Auditorías Riesgos 2019-2023'!O:O)))</f>
        <v>12</v>
      </c>
      <c r="O29" s="151">
        <f>IF(J29=0,"-",IF(J29&lt;&gt;0,SUMIF('Auditorías Riesgos 2019-2023'!H:H,B29,'Auditorías Riesgos 2019-2023'!P:P)))</f>
        <v>0</v>
      </c>
      <c r="P29" s="148">
        <f t="shared" si="1"/>
        <v>0</v>
      </c>
      <c r="Q29" s="151">
        <f>IF(J29=0,"-",IF(J29&lt;&gt;0,SUMIF('Auditorías Riesgos 2019-2023'!H:H,B29,'Auditorías Riesgos 2019-2023'!Q:Q)))</f>
        <v>4</v>
      </c>
      <c r="R29" s="148">
        <f t="shared" si="2"/>
        <v>0.33333333333333331</v>
      </c>
      <c r="S29" s="151">
        <f>IF(J29=0,"-",IF(J29&lt;&gt;0,SUMIF('Auditorías Riesgos 2019-2023'!H:H,B29,'Auditorías Riesgos 2019-2023'!R:R)))</f>
        <v>8</v>
      </c>
      <c r="T29" s="148">
        <f t="shared" si="3"/>
        <v>0.66666666666666663</v>
      </c>
      <c r="U29" s="8">
        <f>IF(J29=0,"-",IF(J29&lt;&gt;0,SUMIF('Auditorías Riesgos 2019-2023'!H:H,B29,'Auditorías Riesgos 2019-2023'!S:S)))</f>
        <v>0</v>
      </c>
      <c r="V29" s="8">
        <f t="shared" si="4"/>
        <v>12</v>
      </c>
      <c r="W29" s="151">
        <f>IF(J29=0,"-",IF(J29&lt;&gt;0,SUMIF('Auditorías Riesgos 2019-2023'!H:H,B29,'Auditorías Riesgos 2019-2023'!T:T)))</f>
        <v>0</v>
      </c>
      <c r="X29" s="148">
        <f t="shared" si="5"/>
        <v>0</v>
      </c>
    </row>
    <row r="30" spans="2:24" ht="21" customHeight="1">
      <c r="B30" s="19" t="s">
        <v>163</v>
      </c>
      <c r="C30" s="108"/>
      <c r="D30" s="109"/>
      <c r="E30" s="8">
        <f>COUNTIFS('Auditorías Riesgos 2019-2023'!B:B,$E$5,'Auditorías Riesgos 2019-2023'!H:H,B30)</f>
        <v>0</v>
      </c>
      <c r="F30" s="8">
        <f>COUNTIFS('Auditorías Riesgos 2019-2023'!B:B,$F$5,'Auditorías Riesgos 2019-2023'!H:H,B30)</f>
        <v>0</v>
      </c>
      <c r="G30" s="8">
        <f>COUNTIFS('Auditorías Riesgos 2019-2023'!B:B,$G$5,'Auditorías Riesgos 2019-2023'!H:H,B30)</f>
        <v>0</v>
      </c>
      <c r="H30" s="8">
        <f>COUNTIFS('Auditorías Riesgos 2019-2023'!B:B,$H$5,'Auditorías Riesgos 2019-2023'!H:H,B30)</f>
        <v>0</v>
      </c>
      <c r="I30" s="8">
        <f>COUNTIFS('Auditorías Riesgos 2019-2023'!B:B,$I$5,'Auditorías Riesgos 2019-2023'!H:H,B30)</f>
        <v>3</v>
      </c>
      <c r="J30" s="13">
        <f>SUM(E30:I30)</f>
        <v>3</v>
      </c>
      <c r="K30" s="8">
        <f>IF(J30=0,"-",IF(J30&lt;&gt;0,SUMIF('Auditorías Riesgos 2019-2023'!H:H,B30,'Auditorías Riesgos 2019-2023'!K:K)))</f>
        <v>18</v>
      </c>
      <c r="L30" s="140">
        <f>IF(J30=0,"-",IF(J30&lt;&gt;0,COUNTIFS('Auditorías Riesgos 2019-2023'!H:H,B30,'Auditorías Riesgos 2019-2023'!L:L,"SI")))</f>
        <v>0</v>
      </c>
      <c r="M30" s="148">
        <f t="shared" si="0"/>
        <v>0</v>
      </c>
      <c r="N30" s="8">
        <f>IF(J30=0,"-",IF(J30&lt;&gt;0,SUMIF('Auditorías Riesgos 2019-2023'!H:H,B30,'Auditorías Riesgos 2019-2023'!O:O)))</f>
        <v>0</v>
      </c>
      <c r="O30" s="151">
        <f>IF(J30=0,"-",IF(J30&lt;&gt;0,SUMIF('Auditorías Riesgos 2019-2023'!H:H,B30,'Auditorías Riesgos 2019-2023'!P:P)))</f>
        <v>0</v>
      </c>
      <c r="P30" s="148" t="str">
        <f t="shared" si="1"/>
        <v>-</v>
      </c>
      <c r="Q30" s="151">
        <f>IF(J30=0,"-",IF(J30&lt;&gt;0,SUMIF('Auditorías Riesgos 2019-2023'!H:H,B30,'Auditorías Riesgos 2019-2023'!Q:Q)))</f>
        <v>0</v>
      </c>
      <c r="R30" s="148" t="str">
        <f t="shared" si="2"/>
        <v>-</v>
      </c>
      <c r="S30" s="151">
        <f>IF(J30=0,"-",IF(J30&lt;&gt;0,SUMIF('Auditorías Riesgos 2019-2023'!H:H,B30,'Auditorías Riesgos 2019-2023'!R:R)))</f>
        <v>0</v>
      </c>
      <c r="T30" s="148" t="str">
        <f t="shared" si="3"/>
        <v>-</v>
      </c>
      <c r="U30" s="8">
        <f>IF(J30=0,"-",IF(J30&lt;&gt;0,SUMIF('Auditorías Riesgos 2019-2023'!H:H,B30,'Auditorías Riesgos 2019-2023'!S:S)))</f>
        <v>0</v>
      </c>
      <c r="V30" s="8">
        <f t="shared" si="4"/>
        <v>0</v>
      </c>
      <c r="W30" s="151">
        <f>IF(J30=0,"-",IF(J30&lt;&gt;0,SUMIF('Auditorías Riesgos 2019-2023'!H:H,B30,'Auditorías Riesgos 2019-2023'!T:T)))</f>
        <v>0</v>
      </c>
      <c r="X30" s="148">
        <f t="shared" si="5"/>
        <v>0</v>
      </c>
    </row>
    <row r="31" spans="2:24" ht="21" customHeight="1">
      <c r="B31" s="19" t="s">
        <v>152</v>
      </c>
      <c r="C31" s="108"/>
      <c r="D31" s="109"/>
      <c r="E31" s="8">
        <f>COUNTIFS('Auditorías Riesgos 2019-2023'!B:B,$E$5,'Auditorías Riesgos 2019-2023'!H:H,B31)</f>
        <v>0</v>
      </c>
      <c r="F31" s="8">
        <f>COUNTIFS('Auditorías Riesgos 2019-2023'!B:B,$F$5,'Auditorías Riesgos 2019-2023'!H:H,B31)</f>
        <v>0</v>
      </c>
      <c r="G31" s="8">
        <f>COUNTIFS('Auditorías Riesgos 2019-2023'!B:B,$G$5,'Auditorías Riesgos 2019-2023'!H:H,B31)</f>
        <v>0</v>
      </c>
      <c r="H31" s="8">
        <f>COUNTIFS('Auditorías Riesgos 2019-2023'!B:B,$H$5,'Auditorías Riesgos 2019-2023'!H:H,B31)</f>
        <v>1</v>
      </c>
      <c r="I31" s="8">
        <f>COUNTIFS('Auditorías Riesgos 2019-2023'!B:B,$I$5,'Auditorías Riesgos 2019-2023'!H:H,B31)</f>
        <v>0</v>
      </c>
      <c r="J31" s="13">
        <f>SUM(E31:I31)</f>
        <v>1</v>
      </c>
      <c r="K31" s="8">
        <f>IF(J31=0,"-",IF(J31&lt;&gt;0,SUMIF('Auditorías Riesgos 2019-2023'!H:H,B31,'Auditorías Riesgos 2019-2023'!K:K)))</f>
        <v>5</v>
      </c>
      <c r="L31" s="140">
        <f>IF(J31=0,"-",IF(J31&lt;&gt;0,COUNTIFS('Auditorías Riesgos 2019-2023'!H:H,B31,'Auditorías Riesgos 2019-2023'!L:L,"SI")))</f>
        <v>0</v>
      </c>
      <c r="M31" s="148">
        <f t="shared" si="0"/>
        <v>0</v>
      </c>
      <c r="N31" s="8">
        <f>IF(J31=0,"-",IF(J31&lt;&gt;0,SUMIF('Auditorías Riesgos 2019-2023'!H:H,B31,'Auditorías Riesgos 2019-2023'!O:O)))</f>
        <v>0</v>
      </c>
      <c r="O31" s="151">
        <f>IF(J31=0,"-",IF(J31&lt;&gt;0,SUMIF('Auditorías Riesgos 2019-2023'!H:H,B31,'Auditorías Riesgos 2019-2023'!P:P)))</f>
        <v>0</v>
      </c>
      <c r="P31" s="148" t="str">
        <f t="shared" si="1"/>
        <v>-</v>
      </c>
      <c r="Q31" s="151">
        <f>IF(J31=0,"-",IF(J31&lt;&gt;0,SUMIF('Auditorías Riesgos 2019-2023'!H:H,B31,'Auditorías Riesgos 2019-2023'!Q:Q)))</f>
        <v>0</v>
      </c>
      <c r="R31" s="148" t="str">
        <f t="shared" si="2"/>
        <v>-</v>
      </c>
      <c r="S31" s="151">
        <f>IF(J31=0,"-",IF(J31&lt;&gt;0,SUMIF('Auditorías Riesgos 2019-2023'!H:H,B31,'Auditorías Riesgos 2019-2023'!R:R)))</f>
        <v>0</v>
      </c>
      <c r="T31" s="148" t="str">
        <f t="shared" si="3"/>
        <v>-</v>
      </c>
      <c r="U31" s="8">
        <f>IF(J31=0,"-",IF(J31&lt;&gt;0,SUMIF('Auditorías Riesgos 2019-2023'!H:H,B31,'Auditorías Riesgos 2019-2023'!S:S)))</f>
        <v>0</v>
      </c>
      <c r="V31" s="8">
        <f t="shared" si="4"/>
        <v>0</v>
      </c>
      <c r="W31" s="151">
        <f>IF(J31=0,"-",IF(J31&lt;&gt;0,SUMIF('Auditorías Riesgos 2019-2023'!H:H,B31,'Auditorías Riesgos 2019-2023'!T:T)))</f>
        <v>0</v>
      </c>
      <c r="X31" s="148">
        <f t="shared" si="5"/>
        <v>0</v>
      </c>
    </row>
    <row r="32" spans="2:24" ht="24" customHeight="1">
      <c r="B32" s="80" t="s">
        <v>201</v>
      </c>
      <c r="C32" s="110"/>
      <c r="D32" s="111"/>
      <c r="E32" s="81">
        <f>SUM(E6:E31)</f>
        <v>13</v>
      </c>
      <c r="F32" s="81">
        <f t="shared" ref="F32:W32" si="8">SUM(F6:F31)</f>
        <v>16</v>
      </c>
      <c r="G32" s="81">
        <f t="shared" si="8"/>
        <v>20</v>
      </c>
      <c r="H32" s="81">
        <f t="shared" si="8"/>
        <v>13</v>
      </c>
      <c r="I32" s="81">
        <f t="shared" si="8"/>
        <v>23</v>
      </c>
      <c r="J32" s="81">
        <f t="shared" si="8"/>
        <v>85</v>
      </c>
      <c r="K32" s="78">
        <f>SUM(K6:K31)</f>
        <v>405</v>
      </c>
      <c r="L32" s="149">
        <f>SUM(L6:L31)</f>
        <v>40</v>
      </c>
      <c r="M32" s="150">
        <f t="shared" si="0"/>
        <v>0.47058823529411764</v>
      </c>
      <c r="N32" s="78">
        <f t="shared" si="8"/>
        <v>355</v>
      </c>
      <c r="O32" s="149">
        <f t="shared" si="8"/>
        <v>72</v>
      </c>
      <c r="P32" s="150">
        <f t="shared" si="1"/>
        <v>0.29508196721311475</v>
      </c>
      <c r="Q32" s="149">
        <f t="shared" si="8"/>
        <v>77</v>
      </c>
      <c r="R32" s="150">
        <f t="shared" si="2"/>
        <v>0.3155737704918033</v>
      </c>
      <c r="S32" s="149">
        <f t="shared" si="8"/>
        <v>95</v>
      </c>
      <c r="T32" s="150">
        <f t="shared" si="3"/>
        <v>0.38934426229508196</v>
      </c>
      <c r="U32" s="78">
        <f>SUM(U6:U31)</f>
        <v>111</v>
      </c>
      <c r="V32" s="78">
        <f t="shared" si="8"/>
        <v>244</v>
      </c>
      <c r="W32" s="149">
        <f t="shared" si="8"/>
        <v>41</v>
      </c>
      <c r="X32" s="150">
        <f t="shared" si="5"/>
        <v>0.10123456790123457</v>
      </c>
    </row>
  </sheetData>
  <mergeCells count="11">
    <mergeCell ref="W4:X4"/>
    <mergeCell ref="B4:D5"/>
    <mergeCell ref="K4:K5"/>
    <mergeCell ref="N4:N5"/>
    <mergeCell ref="E4:J4"/>
    <mergeCell ref="U4:U5"/>
    <mergeCell ref="S4:T4"/>
    <mergeCell ref="Q4:R4"/>
    <mergeCell ref="O4:P4"/>
    <mergeCell ref="L4:M4"/>
    <mergeCell ref="V4:V5"/>
  </mergeCells>
  <conditionalFormatting sqref="E6:I31">
    <cfRule type="cellIs" dxfId="2" priority="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Z32"/>
  <sheetViews>
    <sheetView showGridLines="0" tabSelected="1" topLeftCell="A32" zoomScale="90" zoomScaleNormal="90" workbookViewId="0">
      <selection activeCell="A6" sqref="A6"/>
    </sheetView>
  </sheetViews>
  <sheetFormatPr baseColWidth="10" defaultColWidth="11.44140625" defaultRowHeight="13.8"/>
  <cols>
    <col min="1" max="1" width="1" style="96" customWidth="1"/>
    <col min="2" max="5" width="16.109375" style="96" customWidth="1"/>
    <col min="6" max="6" width="5" style="96" customWidth="1"/>
    <col min="7" max="12" width="12.6640625" style="96" customWidth="1"/>
    <col min="13" max="13" width="22.109375" style="96" bestFit="1" customWidth="1"/>
    <col min="14" max="15" width="15.6640625" style="96" customWidth="1"/>
    <col min="16" max="16" width="16.6640625" style="96" bestFit="1" customWidth="1"/>
    <col min="17" max="22" width="15.6640625" style="96" customWidth="1"/>
    <col min="23" max="24" width="16.33203125" style="96" customWidth="1"/>
    <col min="25" max="26" width="15.6640625" style="96" customWidth="1"/>
    <col min="27" max="16384" width="11.44140625" style="96"/>
  </cols>
  <sheetData>
    <row r="2" spans="2:26" ht="20.399999999999999">
      <c r="B2" s="95" t="s">
        <v>459</v>
      </c>
      <c r="C2" s="95"/>
    </row>
    <row r="3" spans="2:26" ht="9" customHeight="1"/>
    <row r="4" spans="2:26" ht="45.75" customHeight="1">
      <c r="B4" s="195" t="s">
        <v>5</v>
      </c>
      <c r="C4" s="196"/>
      <c r="D4" s="196"/>
      <c r="E4" s="196"/>
      <c r="F4" s="196"/>
      <c r="G4" s="212" t="s">
        <v>350</v>
      </c>
      <c r="H4" s="213"/>
      <c r="I4" s="213"/>
      <c r="J4" s="213"/>
      <c r="K4" s="213"/>
      <c r="L4" s="214"/>
      <c r="M4" s="202" t="s">
        <v>461</v>
      </c>
      <c r="N4" s="209" t="s">
        <v>365</v>
      </c>
      <c r="O4" s="209"/>
      <c r="P4" s="200" t="s">
        <v>460</v>
      </c>
      <c r="Q4" s="203" t="s">
        <v>363</v>
      </c>
      <c r="R4" s="203"/>
      <c r="S4" s="216" t="s">
        <v>362</v>
      </c>
      <c r="T4" s="216"/>
      <c r="U4" s="215" t="s">
        <v>361</v>
      </c>
      <c r="V4" s="215"/>
      <c r="W4" s="200" t="s">
        <v>371</v>
      </c>
      <c r="X4" s="200" t="s">
        <v>370</v>
      </c>
      <c r="Y4" s="212" t="s">
        <v>366</v>
      </c>
      <c r="Z4" s="214"/>
    </row>
    <row r="5" spans="2:26" ht="25.5" customHeight="1">
      <c r="B5" s="197"/>
      <c r="C5" s="198"/>
      <c r="D5" s="198"/>
      <c r="E5" s="198"/>
      <c r="F5" s="199"/>
      <c r="G5" s="82">
        <v>2019</v>
      </c>
      <c r="H5" s="82">
        <v>2020</v>
      </c>
      <c r="I5" s="82">
        <v>2021</v>
      </c>
      <c r="J5" s="82">
        <v>2022</v>
      </c>
      <c r="K5" s="82">
        <v>2023</v>
      </c>
      <c r="L5" s="152" t="s">
        <v>201</v>
      </c>
      <c r="M5" s="201"/>
      <c r="N5" s="142" t="s">
        <v>203</v>
      </c>
      <c r="O5" s="143" t="s">
        <v>364</v>
      </c>
      <c r="P5" s="201"/>
      <c r="Q5" s="142" t="s">
        <v>203</v>
      </c>
      <c r="R5" s="143" t="s">
        <v>364</v>
      </c>
      <c r="S5" s="142" t="s">
        <v>203</v>
      </c>
      <c r="T5" s="143" t="s">
        <v>364</v>
      </c>
      <c r="U5" s="142" t="s">
        <v>203</v>
      </c>
      <c r="V5" s="143" t="s">
        <v>364</v>
      </c>
      <c r="W5" s="201"/>
      <c r="X5" s="201"/>
      <c r="Y5" s="142" t="s">
        <v>203</v>
      </c>
      <c r="Z5" s="143" t="s">
        <v>364</v>
      </c>
    </row>
    <row r="6" spans="2:26" ht="21" customHeight="1">
      <c r="B6" s="175" t="s">
        <v>151</v>
      </c>
      <c r="C6" s="108"/>
      <c r="D6" s="173"/>
      <c r="E6" s="173"/>
      <c r="F6" s="174"/>
      <c r="G6" s="8">
        <f>COUNTIFS('Auditorías Riesgos 2019-2023'!B:B,$G$5,'Auditorías Riesgos 2019-2023'!G:G,B6)</f>
        <v>0</v>
      </c>
      <c r="H6" s="8">
        <f>COUNTIFS('Auditorías Riesgos 2019-2023'!B:B,$H$5,'Auditorías Riesgos 2019-2023'!G:G,B6)</f>
        <v>0</v>
      </c>
      <c r="I6" s="8">
        <f>COUNTIFS('Auditorías Riesgos 2019-2023'!B:B,$I$5,'Auditorías Riesgos 2019-2023'!G:G,B6)</f>
        <v>0</v>
      </c>
      <c r="J6" s="8">
        <f>COUNTIFS('Auditorías Riesgos 2019-2023'!B:B,$J$5,'Auditorías Riesgos 2019-2023'!G:G,B6)</f>
        <v>1</v>
      </c>
      <c r="K6" s="8">
        <f>COUNTIFS('Auditorías Riesgos 2019-2023'!B:B,$K$5,'Auditorías Riesgos 2019-2023'!G:G,B6)</f>
        <v>0</v>
      </c>
      <c r="L6" s="13">
        <f>SUM(G6:K6)</f>
        <v>1</v>
      </c>
      <c r="M6" s="8">
        <f>IF(L6=0,"-",IF(L6&lt;&gt;0,SUMIF('Auditorías Riesgos 2019-2023'!G:G,B6,'Auditorías Riesgos 2019-2023'!K:K)))</f>
        <v>5</v>
      </c>
      <c r="N6" s="140">
        <f>IF(L6=0,"-",IF(L6&lt;&gt;0,COUNTIFS('Auditorías Riesgos 2019-2023'!G:G,B6,'Auditorías Riesgos 2019-2023'!L:L,"SI")))</f>
        <v>0</v>
      </c>
      <c r="O6" s="148">
        <f t="shared" ref="O6:O32" si="0">IFERROR(N6/L6,"-")</f>
        <v>0</v>
      </c>
      <c r="P6" s="8">
        <f>IF(L6=0,"-",IF(L6&lt;&gt;0,SUMIF('Auditorías Riesgos 2019-2023'!G:G,B6,'Auditorías Riesgos 2019-2023'!O:O)))</f>
        <v>0</v>
      </c>
      <c r="Q6" s="151">
        <f>IF(L6=0,"-",IF(L6&lt;&gt;0,SUMIF('Auditorías Riesgos 2019-2023'!G:G,B6,'Auditorías Riesgos 2019-2023'!P:P)))</f>
        <v>0</v>
      </c>
      <c r="R6" s="148" t="str">
        <f t="shared" ref="R6:R32" si="1">IFERROR(Q6/SUM(Q6,S6,U6),"-")</f>
        <v>-</v>
      </c>
      <c r="S6" s="151">
        <f>IF(L6=0,"-",IF(L6&lt;&gt;0,SUMIF('Auditorías Riesgos 2019-2023'!G:G,B6,'Auditorías Riesgos 2019-2023'!Q:Q)))</f>
        <v>0</v>
      </c>
      <c r="T6" s="148" t="str">
        <f t="shared" ref="T6:T32" si="2">IFERROR(S6/SUM(Q6,S6,U6),"-")</f>
        <v>-</v>
      </c>
      <c r="U6" s="151">
        <f>IF(L6=0,"-",IF(L6&lt;&gt;0,SUMIF('Auditorías Riesgos 2019-2023'!G:G,B6,'Auditorías Riesgos 2019-2023'!R:R)))</f>
        <v>0</v>
      </c>
      <c r="V6" s="148" t="str">
        <f t="shared" ref="V6:V32" si="3">IFERROR(U6/SUM(Q6,S6,U6),"-")</f>
        <v>-</v>
      </c>
      <c r="W6" s="8">
        <f>IF(L6=0,"-",IF(L6&lt;&gt;0,SUMIF('Auditorías Riesgos 2019-2023'!G:G,B6,'Auditorías Riesgos 2019-2023'!S:S)))</f>
        <v>0</v>
      </c>
      <c r="X6" s="8">
        <f t="shared" ref="X6:X31" si="4">IF(L6=0,"-",IFERROR(SUM(Q6,S6,U6),"-"))</f>
        <v>0</v>
      </c>
      <c r="Y6" s="151">
        <f>IF(L6=0,"-",IF(L6&lt;&gt;0,SUMIF('Auditorías Riesgos 2019-2023'!G:G,B6,'Auditorías Riesgos 2019-2023'!T:T)))</f>
        <v>0</v>
      </c>
      <c r="Z6" s="148">
        <f t="shared" ref="Z6:Z32" si="5">IFERROR(Y6/M6,"-")</f>
        <v>0</v>
      </c>
    </row>
    <row r="7" spans="2:26" ht="21" customHeight="1">
      <c r="B7" s="175" t="s">
        <v>95</v>
      </c>
      <c r="C7" s="108"/>
      <c r="D7" s="173"/>
      <c r="E7" s="173"/>
      <c r="F7" s="174"/>
      <c r="G7" s="8">
        <f>COUNTIFS('Auditorías Riesgos 2019-2023'!B:B,$G$5,'Auditorías Riesgos 2019-2023'!G:G,B7)</f>
        <v>0</v>
      </c>
      <c r="H7" s="8">
        <f>COUNTIFS('Auditorías Riesgos 2019-2023'!B:B,$H$5,'Auditorías Riesgos 2019-2023'!G:G,B7)</f>
        <v>0</v>
      </c>
      <c r="I7" s="8">
        <f>COUNTIFS('Auditorías Riesgos 2019-2023'!B:B,$I$5,'Auditorías Riesgos 2019-2023'!G:G,B7)</f>
        <v>1</v>
      </c>
      <c r="J7" s="8">
        <f>COUNTIFS('Auditorías Riesgos 2019-2023'!B:B,$J$5,'Auditorías Riesgos 2019-2023'!G:G,B7)</f>
        <v>1</v>
      </c>
      <c r="K7" s="8">
        <f>COUNTIFS('Auditorías Riesgos 2019-2023'!B:B,$K$5,'Auditorías Riesgos 2019-2023'!G:G,B7)</f>
        <v>1</v>
      </c>
      <c r="L7" s="13">
        <f t="shared" ref="L7:L12" si="6">SUM(G7:K7)</f>
        <v>3</v>
      </c>
      <c r="M7" s="8">
        <f>IF(L7=0,"-",IF(L7&lt;&gt;0,SUMIF('Auditorías Riesgos 2019-2023'!G:G,B7,'Auditorías Riesgos 2019-2023'!K:K)))</f>
        <v>19</v>
      </c>
      <c r="N7" s="140">
        <f>IF(L7=0,"-",IF(L7&lt;&gt;0,COUNTIFS('Auditorías Riesgos 2019-2023'!G:G,B7,'Auditorías Riesgos 2019-2023'!L:L,"SI")))</f>
        <v>3</v>
      </c>
      <c r="O7" s="148">
        <f t="shared" si="0"/>
        <v>1</v>
      </c>
      <c r="P7" s="8">
        <f>IF(L7=0,"-",IF(L7&lt;&gt;0,SUMIF('Auditorías Riesgos 2019-2023'!G:G,B7,'Auditorías Riesgos 2019-2023'!O:O)))</f>
        <v>28</v>
      </c>
      <c r="Q7" s="151">
        <f>IF(L7=0,"-",IF(L7&lt;&gt;0,SUMIF('Auditorías Riesgos 2019-2023'!G:G,B7,'Auditorías Riesgos 2019-2023'!P:P)))</f>
        <v>12</v>
      </c>
      <c r="R7" s="148">
        <f t="shared" si="1"/>
        <v>0.8571428571428571</v>
      </c>
      <c r="S7" s="151">
        <f>IF(L7=0,"-",IF(L7&lt;&gt;0,SUMIF('Auditorías Riesgos 2019-2023'!G:G,B7,'Auditorías Riesgos 2019-2023'!Q:Q)))</f>
        <v>2</v>
      </c>
      <c r="T7" s="148">
        <f t="shared" si="2"/>
        <v>0.14285714285714285</v>
      </c>
      <c r="U7" s="151">
        <f>IF(L7=0,"-",IF(L7&lt;&gt;0,SUMIF('Auditorías Riesgos 2019-2023'!G:G,B7,'Auditorías Riesgos 2019-2023'!R:R)))</f>
        <v>0</v>
      </c>
      <c r="V7" s="148">
        <f t="shared" si="3"/>
        <v>0</v>
      </c>
      <c r="W7" s="8">
        <f>IF(L7=0,"-",IF(L7&lt;&gt;0,SUMIF('Auditorías Riesgos 2019-2023'!G:G,B7,'Auditorías Riesgos 2019-2023'!S:S)))</f>
        <v>14</v>
      </c>
      <c r="X7" s="8">
        <f t="shared" si="4"/>
        <v>14</v>
      </c>
      <c r="Y7" s="151">
        <f>IF(L7=0,"-",IF(L7&lt;&gt;0,SUMIF('Auditorías Riesgos 2019-2023'!G:G,B7,'Auditorías Riesgos 2019-2023'!T:T)))</f>
        <v>7</v>
      </c>
      <c r="Z7" s="148">
        <f t="shared" si="5"/>
        <v>0.36842105263157893</v>
      </c>
    </row>
    <row r="8" spans="2:26" ht="21" customHeight="1">
      <c r="B8" s="175" t="s">
        <v>54</v>
      </c>
      <c r="C8" s="108"/>
      <c r="D8" s="173"/>
      <c r="E8" s="173"/>
      <c r="F8" s="174"/>
      <c r="G8" s="8">
        <f>COUNTIFS('Auditorías Riesgos 2019-2023'!B:B,$G$5,'Auditorías Riesgos 2019-2023'!G:G,B8)</f>
        <v>1</v>
      </c>
      <c r="H8" s="8">
        <f>COUNTIFS('Auditorías Riesgos 2019-2023'!B:B,$H$5,'Auditorías Riesgos 2019-2023'!G:G,B8)</f>
        <v>0</v>
      </c>
      <c r="I8" s="8">
        <f>COUNTIFS('Auditorías Riesgos 2019-2023'!B:B,$I$5,'Auditorías Riesgos 2019-2023'!G:G,B8)</f>
        <v>1</v>
      </c>
      <c r="J8" s="8">
        <f>COUNTIFS('Auditorías Riesgos 2019-2023'!B:B,$J$5,'Auditorías Riesgos 2019-2023'!G:G,B8)</f>
        <v>0</v>
      </c>
      <c r="K8" s="8">
        <f>COUNTIFS('Auditorías Riesgos 2019-2023'!B:B,$K$5,'Auditorías Riesgos 2019-2023'!G:G,B8)</f>
        <v>0</v>
      </c>
      <c r="L8" s="13">
        <f t="shared" si="6"/>
        <v>2</v>
      </c>
      <c r="M8" s="8">
        <f>IF(L8=0,"-",IF(L8&lt;&gt;0,SUMIF('Auditorías Riesgos 2019-2023'!G:G,B8,'Auditorías Riesgos 2019-2023'!K:K)))</f>
        <v>8</v>
      </c>
      <c r="N8" s="140">
        <f>IF(L8=0,"-",IF(L8&lt;&gt;0,COUNTIFS('Auditorías Riesgos 2019-2023'!G:G,B8,'Auditorías Riesgos 2019-2023'!L:L,"SI")))</f>
        <v>1</v>
      </c>
      <c r="O8" s="148">
        <f t="shared" si="0"/>
        <v>0.5</v>
      </c>
      <c r="P8" s="8">
        <f>IF(L8=0,"-",IF(L8&lt;&gt;0,SUMIF('Auditorías Riesgos 2019-2023'!G:G,B8,'Auditorías Riesgos 2019-2023'!O:O)))</f>
        <v>15</v>
      </c>
      <c r="Q8" s="151">
        <f>IF(L8=0,"-",IF(L8&lt;&gt;0,SUMIF('Auditorías Riesgos 2019-2023'!G:G,B8,'Auditorías Riesgos 2019-2023'!P:P)))</f>
        <v>0</v>
      </c>
      <c r="R8" s="148" t="str">
        <f t="shared" si="1"/>
        <v>-</v>
      </c>
      <c r="S8" s="151">
        <f>IF(L8=0,"-",IF(L8&lt;&gt;0,SUMIF('Auditorías Riesgos 2019-2023'!G:G,B8,'Auditorías Riesgos 2019-2023'!Q:Q)))</f>
        <v>0</v>
      </c>
      <c r="T8" s="148" t="str">
        <f t="shared" si="2"/>
        <v>-</v>
      </c>
      <c r="U8" s="151">
        <f>IF(L8=0,"-",IF(L8&lt;&gt;0,SUMIF('Auditorías Riesgos 2019-2023'!G:G,B8,'Auditorías Riesgos 2019-2023'!R:R)))</f>
        <v>0</v>
      </c>
      <c r="V8" s="148" t="str">
        <f t="shared" si="3"/>
        <v>-</v>
      </c>
      <c r="W8" s="8">
        <f>IF(L8=0,"-",IF(L8&lt;&gt;0,SUMIF('Auditorías Riesgos 2019-2023'!G:G,B8,'Auditorías Riesgos 2019-2023'!S:S)))</f>
        <v>15</v>
      </c>
      <c r="X8" s="8">
        <f t="shared" si="4"/>
        <v>0</v>
      </c>
      <c r="Y8" s="151">
        <f>IF(L8=0,"-",IF(L8&lt;&gt;0,SUMIF('Auditorías Riesgos 2019-2023'!G:G,B8,'Auditorías Riesgos 2019-2023'!T:T)))</f>
        <v>0</v>
      </c>
      <c r="Z8" s="148">
        <f t="shared" si="5"/>
        <v>0</v>
      </c>
    </row>
    <row r="9" spans="2:26" ht="21" customHeight="1">
      <c r="B9" s="175" t="s">
        <v>344</v>
      </c>
      <c r="C9" s="108"/>
      <c r="D9" s="173"/>
      <c r="E9" s="173"/>
      <c r="F9" s="174"/>
      <c r="G9" s="8">
        <f>COUNTIFS('Auditorías Riesgos 2019-2023'!B:B,$G$5,'Auditorías Riesgos 2019-2023'!G:G,B9)</f>
        <v>0</v>
      </c>
      <c r="H9" s="8">
        <f>COUNTIFS('Auditorías Riesgos 2019-2023'!B:B,$H$5,'Auditorías Riesgos 2019-2023'!G:G,B9)</f>
        <v>0</v>
      </c>
      <c r="I9" s="8">
        <f>COUNTIFS('Auditorías Riesgos 2019-2023'!B:B,$I$5,'Auditorías Riesgos 2019-2023'!G:G,B9)</f>
        <v>0</v>
      </c>
      <c r="J9" s="8">
        <f>COUNTIFS('Auditorías Riesgos 2019-2023'!B:B,$J$5,'Auditorías Riesgos 2019-2023'!G:G,B9)</f>
        <v>0</v>
      </c>
      <c r="K9" s="8">
        <f>COUNTIFS('Auditorías Riesgos 2019-2023'!B:B,$K$5,'Auditorías Riesgos 2019-2023'!G:G,B9)</f>
        <v>0</v>
      </c>
      <c r="L9" s="13">
        <f t="shared" si="6"/>
        <v>0</v>
      </c>
      <c r="M9" s="8" t="str">
        <f>IF(L9=0,"-",IF(L9&lt;&gt;0,SUMIF('Auditorías Riesgos 2019-2023'!G:G,B9,'Auditorías Riesgos 2019-2023'!K:K)))</f>
        <v>-</v>
      </c>
      <c r="N9" s="140" t="str">
        <f>IF(L9=0,"-",IF(L9&lt;&gt;0,COUNTIFS('Auditorías Riesgos 2019-2023'!G:G,B9,'Auditorías Riesgos 2019-2023'!L:L,"SI")))</f>
        <v>-</v>
      </c>
      <c r="O9" s="148" t="str">
        <f t="shared" si="0"/>
        <v>-</v>
      </c>
      <c r="P9" s="8" t="str">
        <f>IF(L9=0,"-",IF(L9&lt;&gt;0,SUMIF('Auditorías Riesgos 2019-2023'!G:G,B9,'Auditorías Riesgos 2019-2023'!O:O)))</f>
        <v>-</v>
      </c>
      <c r="Q9" s="151" t="str">
        <f>IF(L9=0,"-",IF(L9&lt;&gt;0,SUMIF('Auditorías Riesgos 2019-2023'!G:G,B9,'Auditorías Riesgos 2019-2023'!P:P)))</f>
        <v>-</v>
      </c>
      <c r="R9" s="148" t="str">
        <f t="shared" si="1"/>
        <v>-</v>
      </c>
      <c r="S9" s="151" t="str">
        <f>IF(L9=0,"-",IF(L9&lt;&gt;0,SUMIF('Auditorías Riesgos 2019-2023'!G:G,B9,'Auditorías Riesgos 2019-2023'!Q:Q)))</f>
        <v>-</v>
      </c>
      <c r="T9" s="148" t="str">
        <f t="shared" si="2"/>
        <v>-</v>
      </c>
      <c r="U9" s="151" t="str">
        <f>IF(L9=0,"-",IF(L9&lt;&gt;0,SUMIF('Auditorías Riesgos 2019-2023'!G:G,B9,'Auditorías Riesgos 2019-2023'!R:R)))</f>
        <v>-</v>
      </c>
      <c r="V9" s="148" t="str">
        <f t="shared" si="3"/>
        <v>-</v>
      </c>
      <c r="W9" s="8" t="str">
        <f>IF(L9=0,"-",IF(L9&lt;&gt;0,SUMIF('Auditorías Riesgos 2019-2023'!G:G,B9,'Auditorías Riesgos 2019-2023'!S:S)))</f>
        <v>-</v>
      </c>
      <c r="X9" s="8" t="str">
        <f t="shared" si="4"/>
        <v>-</v>
      </c>
      <c r="Y9" s="151" t="str">
        <f>IF(L9=0,"-",IF(L9&lt;&gt;0,SUMIF('Auditorías Riesgos 2019-2023'!G:G,B9,'Auditorías Riesgos 2019-2023'!T:T)))</f>
        <v>-</v>
      </c>
      <c r="Z9" s="148" t="str">
        <f t="shared" si="5"/>
        <v>-</v>
      </c>
    </row>
    <row r="10" spans="2:26" ht="21" customHeight="1">
      <c r="B10" s="175" t="s">
        <v>345</v>
      </c>
      <c r="C10" s="108"/>
      <c r="D10" s="173"/>
      <c r="E10" s="173"/>
      <c r="F10" s="174"/>
      <c r="G10" s="8">
        <f>COUNTIFS('Auditorías Riesgos 2019-2023'!B:B,$G$5,'Auditorías Riesgos 2019-2023'!G:G,B10)</f>
        <v>0</v>
      </c>
      <c r="H10" s="8">
        <f>COUNTIFS('Auditorías Riesgos 2019-2023'!B:B,$H$5,'Auditorías Riesgos 2019-2023'!G:G,B10)</f>
        <v>0</v>
      </c>
      <c r="I10" s="8">
        <f>COUNTIFS('Auditorías Riesgos 2019-2023'!B:B,$I$5,'Auditorías Riesgos 2019-2023'!G:G,B10)</f>
        <v>0</v>
      </c>
      <c r="J10" s="8">
        <f>COUNTIFS('Auditorías Riesgos 2019-2023'!B:B,$J$5,'Auditorías Riesgos 2019-2023'!G:G,B10)</f>
        <v>0</v>
      </c>
      <c r="K10" s="8">
        <f>COUNTIFS('Auditorías Riesgos 2019-2023'!B:B,$K$5,'Auditorías Riesgos 2019-2023'!G:G,B10)</f>
        <v>0</v>
      </c>
      <c r="L10" s="13">
        <f t="shared" si="6"/>
        <v>0</v>
      </c>
      <c r="M10" s="8" t="str">
        <f>IF(L10=0,"-",IF(L10&lt;&gt;0,SUMIF('Auditorías Riesgos 2019-2023'!G:G,B10,'Auditorías Riesgos 2019-2023'!K:K)))</f>
        <v>-</v>
      </c>
      <c r="N10" s="140" t="str">
        <f>IF(L10=0,"-",IF(L10&lt;&gt;0,COUNTIFS('Auditorías Riesgos 2019-2023'!G:G,B10,'Auditorías Riesgos 2019-2023'!L:L,"SI")))</f>
        <v>-</v>
      </c>
      <c r="O10" s="148" t="str">
        <f t="shared" si="0"/>
        <v>-</v>
      </c>
      <c r="P10" s="8" t="str">
        <f>IF(L10=0,"-",IF(L10&lt;&gt;0,SUMIF('Auditorías Riesgos 2019-2023'!G:G,B10,'Auditorías Riesgos 2019-2023'!O:O)))</f>
        <v>-</v>
      </c>
      <c r="Q10" s="151" t="str">
        <f>IF(L10=0,"-",IF(L10&lt;&gt;0,SUMIF('Auditorías Riesgos 2019-2023'!G:G,B10,'Auditorías Riesgos 2019-2023'!P:P)))</f>
        <v>-</v>
      </c>
      <c r="R10" s="148" t="str">
        <f t="shared" si="1"/>
        <v>-</v>
      </c>
      <c r="S10" s="151" t="str">
        <f>IF(L10=0,"-",IF(L10&lt;&gt;0,SUMIF('Auditorías Riesgos 2019-2023'!G:G,B10,'Auditorías Riesgos 2019-2023'!Q:Q)))</f>
        <v>-</v>
      </c>
      <c r="T10" s="148" t="str">
        <f t="shared" si="2"/>
        <v>-</v>
      </c>
      <c r="U10" s="151" t="str">
        <f>IF(L10=0,"-",IF(L10&lt;&gt;0,SUMIF('Auditorías Riesgos 2019-2023'!G:G,B10,'Auditorías Riesgos 2019-2023'!R:R)))</f>
        <v>-</v>
      </c>
      <c r="V10" s="148" t="str">
        <f t="shared" si="3"/>
        <v>-</v>
      </c>
      <c r="W10" s="8" t="str">
        <f>IF(L10=0,"-",IF(L10&lt;&gt;0,SUMIF('Auditorías Riesgos 2019-2023'!G:G,B10,'Auditorías Riesgos 2019-2023'!S:S)))</f>
        <v>-</v>
      </c>
      <c r="X10" s="8" t="str">
        <f t="shared" si="4"/>
        <v>-</v>
      </c>
      <c r="Y10" s="151" t="str">
        <f>IF(L10=0,"-",IF(L10&lt;&gt;0,SUMIF('Auditorías Riesgos 2019-2023'!G:G,B10,'Auditorías Riesgos 2019-2023'!T:T)))</f>
        <v>-</v>
      </c>
      <c r="Z10" s="148" t="str">
        <f t="shared" si="5"/>
        <v>-</v>
      </c>
    </row>
    <row r="11" spans="2:26" ht="21" customHeight="1">
      <c r="B11" s="175" t="s">
        <v>127</v>
      </c>
      <c r="C11" s="108"/>
      <c r="D11" s="173"/>
      <c r="E11" s="173"/>
      <c r="F11" s="174"/>
      <c r="G11" s="8">
        <f>COUNTIFS('Auditorías Riesgos 2019-2023'!B:B,$G$5,'Auditorías Riesgos 2019-2023'!G:G,B11)</f>
        <v>0</v>
      </c>
      <c r="H11" s="8">
        <f>COUNTIFS('Auditorías Riesgos 2019-2023'!B:B,$H$5,'Auditorías Riesgos 2019-2023'!G:G,B11)</f>
        <v>0</v>
      </c>
      <c r="I11" s="8">
        <f>COUNTIFS('Auditorías Riesgos 2019-2023'!B:B,$I$5,'Auditorías Riesgos 2019-2023'!G:G,B11)</f>
        <v>1</v>
      </c>
      <c r="J11" s="8">
        <f>COUNTIFS('Auditorías Riesgos 2019-2023'!B:B,$J$5,'Auditorías Riesgos 2019-2023'!G:G,B11)</f>
        <v>2</v>
      </c>
      <c r="K11" s="8">
        <f>COUNTIFS('Auditorías Riesgos 2019-2023'!B:B,$K$5,'Auditorías Riesgos 2019-2023'!G:G,B11)</f>
        <v>1</v>
      </c>
      <c r="L11" s="13">
        <f t="shared" si="6"/>
        <v>4</v>
      </c>
      <c r="M11" s="8">
        <f>IF(L11=0,"-",IF(L11&lt;&gt;0,SUMIF('Auditorías Riesgos 2019-2023'!G:G,B11,'Auditorías Riesgos 2019-2023'!K:K)))</f>
        <v>3</v>
      </c>
      <c r="N11" s="140">
        <f>IF(L11=0,"-",IF(L11&lt;&gt;0,COUNTIFS('Auditorías Riesgos 2019-2023'!G:G,B11,'Auditorías Riesgos 2019-2023'!L:L,"SI")))</f>
        <v>2</v>
      </c>
      <c r="O11" s="148">
        <f t="shared" si="0"/>
        <v>0.5</v>
      </c>
      <c r="P11" s="8">
        <f>IF(L11=0,"-",IF(L11&lt;&gt;0,SUMIF('Auditorías Riesgos 2019-2023'!G:G,B11,'Auditorías Riesgos 2019-2023'!O:O)))</f>
        <v>20</v>
      </c>
      <c r="Q11" s="151">
        <f>IF(L11=0,"-",IF(L11&lt;&gt;0,SUMIF('Auditorías Riesgos 2019-2023'!G:G,B11,'Auditorías Riesgos 2019-2023'!P:P)))</f>
        <v>3</v>
      </c>
      <c r="R11" s="148">
        <f t="shared" si="1"/>
        <v>0.25</v>
      </c>
      <c r="S11" s="151">
        <f>IF(L11=0,"-",IF(L11&lt;&gt;0,SUMIF('Auditorías Riesgos 2019-2023'!G:G,B11,'Auditorías Riesgos 2019-2023'!Q:Q)))</f>
        <v>9</v>
      </c>
      <c r="T11" s="148">
        <f t="shared" si="2"/>
        <v>0.75</v>
      </c>
      <c r="U11" s="151">
        <f>IF(L11=0,"-",IF(L11&lt;&gt;0,SUMIF('Auditorías Riesgos 2019-2023'!G:G,B11,'Auditorías Riesgos 2019-2023'!R:R)))</f>
        <v>0</v>
      </c>
      <c r="V11" s="148">
        <f t="shared" si="3"/>
        <v>0</v>
      </c>
      <c r="W11" s="8">
        <f>IF(L11=0,"-",IF(L11&lt;&gt;0,SUMIF('Auditorías Riesgos 2019-2023'!G:G,B11,'Auditorías Riesgos 2019-2023'!S:S)))</f>
        <v>8</v>
      </c>
      <c r="X11" s="8">
        <f t="shared" si="4"/>
        <v>12</v>
      </c>
      <c r="Y11" s="151">
        <f>IF(L11=0,"-",IF(L11&lt;&gt;0,SUMIF('Auditorías Riesgos 2019-2023'!G:G,B11,'Auditorías Riesgos 2019-2023'!T:T)))</f>
        <v>0</v>
      </c>
      <c r="Z11" s="148">
        <f t="shared" si="5"/>
        <v>0</v>
      </c>
    </row>
    <row r="12" spans="2:26" ht="21" customHeight="1">
      <c r="B12" s="175" t="s">
        <v>11</v>
      </c>
      <c r="C12" s="108"/>
      <c r="D12" s="173"/>
      <c r="E12" s="173"/>
      <c r="F12" s="174"/>
      <c r="G12" s="8">
        <f>COUNTIFS('Auditorías Riesgos 2019-2023'!B:B,$G$5,'Auditorías Riesgos 2019-2023'!G:G,B12)</f>
        <v>7</v>
      </c>
      <c r="H12" s="8">
        <f>COUNTIFS('Auditorías Riesgos 2019-2023'!B:B,$H$5,'Auditorías Riesgos 2019-2023'!G:G,B12)</f>
        <v>9</v>
      </c>
      <c r="I12" s="8">
        <f>COUNTIFS('Auditorías Riesgos 2019-2023'!B:B,$I$5,'Auditorías Riesgos 2019-2023'!G:G,B12)</f>
        <v>4</v>
      </c>
      <c r="J12" s="8">
        <f>COUNTIFS('Auditorías Riesgos 2019-2023'!B:B,$J$5,'Auditorías Riesgos 2019-2023'!G:G,B12)</f>
        <v>1</v>
      </c>
      <c r="K12" s="8">
        <f>COUNTIFS('Auditorías Riesgos 2019-2023'!B:B,$K$5,'Auditorías Riesgos 2019-2023'!G:G,B12)</f>
        <v>5</v>
      </c>
      <c r="L12" s="13">
        <f t="shared" si="6"/>
        <v>26</v>
      </c>
      <c r="M12" s="8">
        <f>IF(L12=0,"-",IF(L12&lt;&gt;0,SUMIF('Auditorías Riesgos 2019-2023'!G:G,B12,'Auditorías Riesgos 2019-2023'!K:K)))</f>
        <v>117</v>
      </c>
      <c r="N12" s="140">
        <f>IF(L12=0,"-",IF(L12&lt;&gt;0,COUNTIFS('Auditorías Riesgos 2019-2023'!G:G,B12,'Auditorías Riesgos 2019-2023'!L:L,"SI")))</f>
        <v>16</v>
      </c>
      <c r="O12" s="148">
        <f t="shared" si="0"/>
        <v>0.61538461538461542</v>
      </c>
      <c r="P12" s="8">
        <f>IF(L12=0,"-",IF(L12&lt;&gt;0,SUMIF('Auditorías Riesgos 2019-2023'!G:G,B12,'Auditorías Riesgos 2019-2023'!O:O)))</f>
        <v>140</v>
      </c>
      <c r="Q12" s="151">
        <f>IF(L12=0,"-",IF(L12&lt;&gt;0,SUMIF('Auditorías Riesgos 2019-2023'!G:G,B12,'Auditorías Riesgos 2019-2023'!P:P)))</f>
        <v>36</v>
      </c>
      <c r="R12" s="148">
        <f t="shared" si="1"/>
        <v>0.2857142857142857</v>
      </c>
      <c r="S12" s="151">
        <f>IF(L12=0,"-",IF(L12&lt;&gt;0,SUMIF('Auditorías Riesgos 2019-2023'!G:G,B12,'Auditorías Riesgos 2019-2023'!Q:Q)))</f>
        <v>37</v>
      </c>
      <c r="T12" s="148">
        <f t="shared" si="2"/>
        <v>0.29365079365079366</v>
      </c>
      <c r="U12" s="151">
        <f>IF(L12=0,"-",IF(L12&lt;&gt;0,SUMIF('Auditorías Riesgos 2019-2023'!G:G,B12,'Auditorías Riesgos 2019-2023'!R:R)))</f>
        <v>53</v>
      </c>
      <c r="V12" s="148">
        <f t="shared" si="3"/>
        <v>0.42063492063492064</v>
      </c>
      <c r="W12" s="8">
        <f>IF(L12=0,"-",IF(L12&lt;&gt;0,SUMIF('Auditorías Riesgos 2019-2023'!G:G,B12,'Auditorías Riesgos 2019-2023'!S:S)))</f>
        <v>14</v>
      </c>
      <c r="X12" s="8">
        <f t="shared" si="4"/>
        <v>126</v>
      </c>
      <c r="Y12" s="151">
        <f>IF(L12=0,"-",IF(L12&lt;&gt;0,SUMIF('Auditorías Riesgos 2019-2023'!G:G,B12,'Auditorías Riesgos 2019-2023'!T:T)))</f>
        <v>17</v>
      </c>
      <c r="Z12" s="148">
        <f t="shared" si="5"/>
        <v>0.14529914529914531</v>
      </c>
    </row>
    <row r="13" spans="2:26" ht="21" customHeight="1">
      <c r="B13" s="175" t="s">
        <v>45</v>
      </c>
      <c r="C13" s="108"/>
      <c r="D13" s="173"/>
      <c r="E13" s="173"/>
      <c r="F13" s="174"/>
      <c r="G13" s="8">
        <f>COUNTIFS('Auditorías Riesgos 2019-2023'!B:B,$G$5,'Auditorías Riesgos 2019-2023'!G:G,B13)</f>
        <v>1</v>
      </c>
      <c r="H13" s="8">
        <f>COUNTIFS('Auditorías Riesgos 2019-2023'!B:B,$H$5,'Auditorías Riesgos 2019-2023'!G:G,B13)</f>
        <v>2</v>
      </c>
      <c r="I13" s="8">
        <f>COUNTIFS('Auditorías Riesgos 2019-2023'!B:B,$I$5,'Auditorías Riesgos 2019-2023'!G:G,B13)</f>
        <v>1</v>
      </c>
      <c r="J13" s="8">
        <f>COUNTIFS('Auditorías Riesgos 2019-2023'!B:B,$J$5,'Auditorías Riesgos 2019-2023'!G:G,B13)</f>
        <v>1</v>
      </c>
      <c r="K13" s="8">
        <f>COUNTIFS('Auditorías Riesgos 2019-2023'!B:B,$K$5,'Auditorías Riesgos 2019-2023'!G:G,B13)</f>
        <v>1</v>
      </c>
      <c r="L13" s="13">
        <f>SUM(G13:K13)</f>
        <v>6</v>
      </c>
      <c r="M13" s="8">
        <f>IF(L13=0,"-",IF(L13&lt;&gt;0,SUMIF('Auditorías Riesgos 2019-2023'!G:G,B13,'Auditorías Riesgos 2019-2023'!K:K)))</f>
        <v>22</v>
      </c>
      <c r="N13" s="140">
        <f>IF(L13=0,"-",IF(L13&lt;&gt;0,COUNTIFS('Auditorías Riesgos 2019-2023'!G:G,B13,'Auditorías Riesgos 2019-2023'!L:L,"SI")))</f>
        <v>2</v>
      </c>
      <c r="O13" s="148">
        <f t="shared" si="0"/>
        <v>0.33333333333333331</v>
      </c>
      <c r="P13" s="8">
        <f>IF(L13=0,"-",IF(L13&lt;&gt;0,SUMIF('Auditorías Riesgos 2019-2023'!G:G,B13,'Auditorías Riesgos 2019-2023'!O:O)))</f>
        <v>16</v>
      </c>
      <c r="Q13" s="151">
        <f>IF(L13=0,"-",IF(L13&lt;&gt;0,SUMIF('Auditorías Riesgos 2019-2023'!G:G,B13,'Auditorías Riesgos 2019-2023'!P:P)))</f>
        <v>10</v>
      </c>
      <c r="R13" s="148">
        <f t="shared" si="1"/>
        <v>0.90909090909090906</v>
      </c>
      <c r="S13" s="151">
        <f>IF(L13=0,"-",IF(L13&lt;&gt;0,SUMIF('Auditorías Riesgos 2019-2023'!G:G,B13,'Auditorías Riesgos 2019-2023'!Q:Q)))</f>
        <v>0</v>
      </c>
      <c r="T13" s="148">
        <f t="shared" si="2"/>
        <v>0</v>
      </c>
      <c r="U13" s="151">
        <f>IF(L13=0,"-",IF(L13&lt;&gt;0,SUMIF('Auditorías Riesgos 2019-2023'!G:G,B13,'Auditorías Riesgos 2019-2023'!R:R)))</f>
        <v>1</v>
      </c>
      <c r="V13" s="148">
        <f t="shared" si="3"/>
        <v>9.0909090909090912E-2</v>
      </c>
      <c r="W13" s="8">
        <f>IF(L13=0,"-",IF(L13&lt;&gt;0,SUMIF('Auditorías Riesgos 2019-2023'!G:G,B13,'Auditorías Riesgos 2019-2023'!S:S)))</f>
        <v>5</v>
      </c>
      <c r="X13" s="8">
        <f t="shared" si="4"/>
        <v>11</v>
      </c>
      <c r="Y13" s="151">
        <f>IF(L13=0,"-",IF(L13&lt;&gt;0,SUMIF('Auditorías Riesgos 2019-2023'!G:G,B13,'Auditorías Riesgos 2019-2023'!T:T)))</f>
        <v>2</v>
      </c>
      <c r="Z13" s="148">
        <f t="shared" si="5"/>
        <v>9.0909090909090912E-2</v>
      </c>
    </row>
    <row r="14" spans="2:26" ht="21" customHeight="1">
      <c r="B14" s="175" t="s">
        <v>35</v>
      </c>
      <c r="C14" s="108"/>
      <c r="D14" s="173"/>
      <c r="E14" s="173"/>
      <c r="F14" s="174"/>
      <c r="G14" s="8">
        <f>COUNTIFS('Auditorías Riesgos 2019-2023'!B:B,$G$5,'Auditorías Riesgos 2019-2023'!G:G,B14)</f>
        <v>2</v>
      </c>
      <c r="H14" s="8">
        <f>COUNTIFS('Auditorías Riesgos 2019-2023'!B:B,$H$5,'Auditorías Riesgos 2019-2023'!G:G,B14)</f>
        <v>1</v>
      </c>
      <c r="I14" s="8">
        <f>COUNTIFS('Auditorías Riesgos 2019-2023'!B:B,$I$5,'Auditorías Riesgos 2019-2023'!G:G,B14)</f>
        <v>4</v>
      </c>
      <c r="J14" s="8">
        <f>COUNTIFS('Auditorías Riesgos 2019-2023'!B:B,$J$5,'Auditorías Riesgos 2019-2023'!G:G,B14)</f>
        <v>3</v>
      </c>
      <c r="K14" s="8">
        <f>COUNTIFS('Auditorías Riesgos 2019-2023'!B:B,$K$5,'Auditorías Riesgos 2019-2023'!G:G,B14)</f>
        <v>8</v>
      </c>
      <c r="L14" s="13">
        <f>SUM(G14:K14)</f>
        <v>18</v>
      </c>
      <c r="M14" s="8">
        <f>IF(L14=0,"-",IF(L14&lt;&gt;0,SUMIF('Auditorías Riesgos 2019-2023'!G:G,B14,'Auditorías Riesgos 2019-2023'!K:K)))</f>
        <v>110</v>
      </c>
      <c r="N14" s="140">
        <f>IF(L14=0,"-",IF(L14&lt;&gt;0,COUNTIFS('Auditorías Riesgos 2019-2023'!G:G,B14,'Auditorías Riesgos 2019-2023'!L:L,"SI")))</f>
        <v>4</v>
      </c>
      <c r="O14" s="148">
        <f t="shared" si="0"/>
        <v>0.22222222222222221</v>
      </c>
      <c r="P14" s="8">
        <f>IF(L14=0,"-",IF(L14&lt;&gt;0,SUMIF('Auditorías Riesgos 2019-2023'!G:G,B14,'Auditorías Riesgos 2019-2023'!O:O)))</f>
        <v>29</v>
      </c>
      <c r="Q14" s="151">
        <f>IF(L14=0,"-",IF(L14&lt;&gt;0,SUMIF('Auditorías Riesgos 2019-2023'!G:G,B14,'Auditorías Riesgos 2019-2023'!P:P)))</f>
        <v>2</v>
      </c>
      <c r="R14" s="148">
        <f t="shared" si="1"/>
        <v>7.6923076923076927E-2</v>
      </c>
      <c r="S14" s="151">
        <f>IF(L14=0,"-",IF(L14&lt;&gt;0,SUMIF('Auditorías Riesgos 2019-2023'!G:G,B14,'Auditorías Riesgos 2019-2023'!Q:Q)))</f>
        <v>15</v>
      </c>
      <c r="T14" s="148">
        <f t="shared" si="2"/>
        <v>0.57692307692307687</v>
      </c>
      <c r="U14" s="151">
        <f>IF(L14=0,"-",IF(L14&lt;&gt;0,SUMIF('Auditorías Riesgos 2019-2023'!G:G,B14,'Auditorías Riesgos 2019-2023'!R:R)))</f>
        <v>9</v>
      </c>
      <c r="V14" s="148">
        <f t="shared" si="3"/>
        <v>0.34615384615384615</v>
      </c>
      <c r="W14" s="8">
        <f>IF(L14=0,"-",IF(L14&lt;&gt;0,SUMIF('Auditorías Riesgos 2019-2023'!G:G,B14,'Auditorías Riesgos 2019-2023'!S:S)))</f>
        <v>3</v>
      </c>
      <c r="X14" s="8">
        <f t="shared" si="4"/>
        <v>26</v>
      </c>
      <c r="Y14" s="151">
        <f>IF(L14=0,"-",IF(L14&lt;&gt;0,SUMIF('Auditorías Riesgos 2019-2023'!G:G,B14,'Auditorías Riesgos 2019-2023'!T:T)))</f>
        <v>1</v>
      </c>
      <c r="Z14" s="148">
        <f t="shared" si="5"/>
        <v>9.0909090909090905E-3</v>
      </c>
    </row>
    <row r="15" spans="2:26" ht="21" customHeight="1">
      <c r="B15" s="175" t="s">
        <v>40</v>
      </c>
      <c r="C15" s="108"/>
      <c r="D15" s="173"/>
      <c r="E15" s="173"/>
      <c r="F15" s="174"/>
      <c r="G15" s="8">
        <f>COUNTIFS('Auditorías Riesgos 2019-2023'!B:B,$G$5,'Auditorías Riesgos 2019-2023'!G:G,B15)</f>
        <v>1</v>
      </c>
      <c r="H15" s="8">
        <f>COUNTIFS('Auditorías Riesgos 2019-2023'!B:B,$H$5,'Auditorías Riesgos 2019-2023'!G:G,B15)</f>
        <v>2</v>
      </c>
      <c r="I15" s="8">
        <f>COUNTIFS('Auditorías Riesgos 2019-2023'!B:B,$I$5,'Auditorías Riesgos 2019-2023'!G:G,B15)</f>
        <v>4</v>
      </c>
      <c r="J15" s="8">
        <f>COUNTIFS('Auditorías Riesgos 2019-2023'!B:B,$J$5,'Auditorías Riesgos 2019-2023'!G:G,B15)</f>
        <v>4</v>
      </c>
      <c r="K15" s="8">
        <f>COUNTIFS('Auditorías Riesgos 2019-2023'!B:B,$K$5,'Auditorías Riesgos 2019-2023'!G:G,B15)</f>
        <v>1</v>
      </c>
      <c r="L15" s="13">
        <f>SUM(G15:K15)</f>
        <v>12</v>
      </c>
      <c r="M15" s="8">
        <f>IF(L15=0,"-",IF(L15&lt;&gt;0,SUMIF('Auditorías Riesgos 2019-2023'!G:G,B15,'Auditorías Riesgos 2019-2023'!K:K)))</f>
        <v>46</v>
      </c>
      <c r="N15" s="140">
        <f>IF(L15=0,"-",IF(L15&lt;&gt;0,COUNTIFS('Auditorías Riesgos 2019-2023'!G:G,B15,'Auditorías Riesgos 2019-2023'!L:L,"SI")))</f>
        <v>4</v>
      </c>
      <c r="O15" s="148">
        <f t="shared" si="0"/>
        <v>0.33333333333333331</v>
      </c>
      <c r="P15" s="8">
        <f>IF(L15=0,"-",IF(L15&lt;&gt;0,SUMIF('Auditorías Riesgos 2019-2023'!G:G,B15,'Auditorías Riesgos 2019-2023'!O:O)))</f>
        <v>40</v>
      </c>
      <c r="Q15" s="151">
        <f>IF(L15=0,"-",IF(L15&lt;&gt;0,SUMIF('Auditorías Riesgos 2019-2023'!G:G,B15,'Auditorías Riesgos 2019-2023'!P:P)))</f>
        <v>0</v>
      </c>
      <c r="R15" s="148">
        <f t="shared" si="1"/>
        <v>0</v>
      </c>
      <c r="S15" s="151">
        <f>IF(L15=0,"-",IF(L15&lt;&gt;0,SUMIF('Auditorías Riesgos 2019-2023'!G:G,B15,'Auditorías Riesgos 2019-2023'!Q:Q)))</f>
        <v>3</v>
      </c>
      <c r="T15" s="148">
        <f t="shared" si="2"/>
        <v>0.21428571428571427</v>
      </c>
      <c r="U15" s="151">
        <f>IF(L15=0,"-",IF(L15&lt;&gt;0,SUMIF('Auditorías Riesgos 2019-2023'!G:G,B15,'Auditorías Riesgos 2019-2023'!R:R)))</f>
        <v>11</v>
      </c>
      <c r="V15" s="148">
        <f t="shared" si="3"/>
        <v>0.7857142857142857</v>
      </c>
      <c r="W15" s="8">
        <f>IF(L15=0,"-",IF(L15&lt;&gt;0,SUMIF('Auditorías Riesgos 2019-2023'!G:G,B15,'Auditorías Riesgos 2019-2023'!S:S)))</f>
        <v>26</v>
      </c>
      <c r="X15" s="8">
        <f t="shared" si="4"/>
        <v>14</v>
      </c>
      <c r="Y15" s="151">
        <f>IF(L15=0,"-",IF(L15&lt;&gt;0,SUMIF('Auditorías Riesgos 2019-2023'!G:G,B15,'Auditorías Riesgos 2019-2023'!T:T)))</f>
        <v>0</v>
      </c>
      <c r="Z15" s="148">
        <f t="shared" si="5"/>
        <v>0</v>
      </c>
    </row>
    <row r="16" spans="2:26" ht="21" customHeight="1">
      <c r="B16" s="175" t="s">
        <v>105</v>
      </c>
      <c r="C16" s="108"/>
      <c r="D16" s="173"/>
      <c r="E16" s="173"/>
      <c r="F16" s="174"/>
      <c r="G16" s="8">
        <f>COUNTIFS('Auditorías Riesgos 2019-2023'!B:B,$G$5,'Auditorías Riesgos 2019-2023'!G:G,B16)</f>
        <v>0</v>
      </c>
      <c r="H16" s="8">
        <f>COUNTIFS('Auditorías Riesgos 2019-2023'!B:B,$H$5,'Auditorías Riesgos 2019-2023'!G:G,B16)</f>
        <v>0</v>
      </c>
      <c r="I16" s="8">
        <f>COUNTIFS('Auditorías Riesgos 2019-2023'!B:B,$I$5,'Auditorías Riesgos 2019-2023'!G:G,B16)</f>
        <v>1</v>
      </c>
      <c r="J16" s="8">
        <f>COUNTIFS('Auditorías Riesgos 2019-2023'!B:B,$J$5,'Auditorías Riesgos 2019-2023'!G:G,B16)</f>
        <v>0</v>
      </c>
      <c r="K16" s="8">
        <f>COUNTIFS('Auditorías Riesgos 2019-2023'!B:B,$K$5,'Auditorías Riesgos 2019-2023'!G:G,B16)</f>
        <v>4</v>
      </c>
      <c r="L16" s="13">
        <f>SUM(G16:K16)</f>
        <v>5</v>
      </c>
      <c r="M16" s="8">
        <f>IF(L16=0,"-",IF(L16&lt;&gt;0,SUMIF('Auditorías Riesgos 2019-2023'!G:G,B16,'Auditorías Riesgos 2019-2023'!K:K)))</f>
        <v>16</v>
      </c>
      <c r="N16" s="140">
        <f>IF(L16=0,"-",IF(L16&lt;&gt;0,COUNTIFS('Auditorías Riesgos 2019-2023'!G:G,B16,'Auditorías Riesgos 2019-2023'!L:L,"SI")))</f>
        <v>2</v>
      </c>
      <c r="O16" s="148">
        <f t="shared" si="0"/>
        <v>0.4</v>
      </c>
      <c r="P16" s="8">
        <f>IF(L16=0,"-",IF(L16&lt;&gt;0,SUMIF('Auditorías Riesgos 2019-2023'!G:G,B16,'Auditorías Riesgos 2019-2023'!O:O)))</f>
        <v>10</v>
      </c>
      <c r="Q16" s="151">
        <f>IF(L16=0,"-",IF(L16&lt;&gt;0,SUMIF('Auditorías Riesgos 2019-2023'!G:G,B16,'Auditorías Riesgos 2019-2023'!P:P)))</f>
        <v>0</v>
      </c>
      <c r="R16" s="148" t="str">
        <f t="shared" si="1"/>
        <v>-</v>
      </c>
      <c r="S16" s="151">
        <f>IF(L16=0,"-",IF(L16&lt;&gt;0,SUMIF('Auditorías Riesgos 2019-2023'!G:G,B16,'Auditorías Riesgos 2019-2023'!Q:Q)))</f>
        <v>0</v>
      </c>
      <c r="T16" s="148" t="str">
        <f t="shared" si="2"/>
        <v>-</v>
      </c>
      <c r="U16" s="151">
        <f>IF(L16=0,"-",IF(L16&lt;&gt;0,SUMIF('Auditorías Riesgos 2019-2023'!G:G,B16,'Auditorías Riesgos 2019-2023'!R:R)))</f>
        <v>0</v>
      </c>
      <c r="V16" s="148" t="str">
        <f t="shared" si="3"/>
        <v>-</v>
      </c>
      <c r="W16" s="8">
        <f>IF(L16=0,"-",IF(L16&lt;&gt;0,SUMIF('Auditorías Riesgos 2019-2023'!G:G,B16,'Auditorías Riesgos 2019-2023'!S:S)))</f>
        <v>10</v>
      </c>
      <c r="X16" s="8">
        <f t="shared" si="4"/>
        <v>0</v>
      </c>
      <c r="Y16" s="151">
        <f>IF(L16=0,"-",IF(L16&lt;&gt;0,SUMIF('Auditorías Riesgos 2019-2023'!G:G,B16,'Auditorías Riesgos 2019-2023'!T:T)))</f>
        <v>0</v>
      </c>
      <c r="Z16" s="148">
        <f t="shared" si="5"/>
        <v>0</v>
      </c>
    </row>
    <row r="17" spans="2:26" ht="21" customHeight="1">
      <c r="B17" s="175" t="s">
        <v>82</v>
      </c>
      <c r="C17" s="108"/>
      <c r="D17" s="173"/>
      <c r="E17" s="173"/>
      <c r="F17" s="174"/>
      <c r="G17" s="8">
        <f>COUNTIFS('Auditorías Riesgos 2019-2023'!B:B,$G$5,'Auditorías Riesgos 2019-2023'!G:G,B17)</f>
        <v>0</v>
      </c>
      <c r="H17" s="8">
        <f>COUNTIFS('Auditorías Riesgos 2019-2023'!B:B,$H$5,'Auditorías Riesgos 2019-2023'!G:G,B17)</f>
        <v>2</v>
      </c>
      <c r="I17" s="8">
        <f>COUNTIFS('Auditorías Riesgos 2019-2023'!B:B,$I$5,'Auditorías Riesgos 2019-2023'!G:G,B17)</f>
        <v>2</v>
      </c>
      <c r="J17" s="8">
        <f>COUNTIFS('Auditorías Riesgos 2019-2023'!B:B,$J$5,'Auditorías Riesgos 2019-2023'!G:G,B17)</f>
        <v>0</v>
      </c>
      <c r="K17" s="8">
        <f>COUNTIFS('Auditorías Riesgos 2019-2023'!B:B,$K$5,'Auditorías Riesgos 2019-2023'!G:G,B17)</f>
        <v>1</v>
      </c>
      <c r="L17" s="13">
        <f t="shared" ref="L17:L27" si="7">SUM(G17:K17)</f>
        <v>5</v>
      </c>
      <c r="M17" s="8">
        <f>IF(L17=0,"-",IF(L17&lt;&gt;0,SUMIF('Auditorías Riesgos 2019-2023'!G:G,B17,'Auditorías Riesgos 2019-2023'!K:K)))</f>
        <v>40</v>
      </c>
      <c r="N17" s="140">
        <f>IF(L17=0,"-",IF(L17&lt;&gt;0,COUNTIFS('Auditorías Riesgos 2019-2023'!G:G,B17,'Auditorías Riesgos 2019-2023'!L:L,"SI")))</f>
        <v>4</v>
      </c>
      <c r="O17" s="148">
        <f t="shared" si="0"/>
        <v>0.8</v>
      </c>
      <c r="P17" s="8">
        <f>IF(L17=0,"-",IF(L17&lt;&gt;0,SUMIF('Auditorías Riesgos 2019-2023'!G:G,B17,'Auditorías Riesgos 2019-2023'!O:O)))</f>
        <v>34</v>
      </c>
      <c r="Q17" s="151">
        <f>IF(L17=0,"-",IF(L17&lt;&gt;0,SUMIF('Auditorías Riesgos 2019-2023'!G:G,B17,'Auditorías Riesgos 2019-2023'!P:P)))</f>
        <v>4</v>
      </c>
      <c r="R17" s="148">
        <f t="shared" si="1"/>
        <v>0.22222222222222221</v>
      </c>
      <c r="S17" s="151">
        <f>IF(L17=0,"-",IF(L17&lt;&gt;0,SUMIF('Auditorías Riesgos 2019-2023'!G:G,B17,'Auditorías Riesgos 2019-2023'!Q:Q)))</f>
        <v>5</v>
      </c>
      <c r="T17" s="148">
        <f t="shared" si="2"/>
        <v>0.27777777777777779</v>
      </c>
      <c r="U17" s="151">
        <f>IF(L17=0,"-",IF(L17&lt;&gt;0,SUMIF('Auditorías Riesgos 2019-2023'!G:G,B17,'Auditorías Riesgos 2019-2023'!R:R)))</f>
        <v>9</v>
      </c>
      <c r="V17" s="148">
        <f t="shared" si="3"/>
        <v>0.5</v>
      </c>
      <c r="W17" s="8">
        <f>IF(L17=0,"-",IF(L17&lt;&gt;0,SUMIF('Auditorías Riesgos 2019-2023'!G:G,B17,'Auditorías Riesgos 2019-2023'!S:S)))</f>
        <v>16</v>
      </c>
      <c r="X17" s="8">
        <f t="shared" si="4"/>
        <v>18</v>
      </c>
      <c r="Y17" s="151">
        <f>IF(L17=0,"-",IF(L17&lt;&gt;0,SUMIF('Auditorías Riesgos 2019-2023'!G:G,B17,'Auditorías Riesgos 2019-2023'!T:T)))</f>
        <v>12</v>
      </c>
      <c r="Z17" s="148">
        <f t="shared" si="5"/>
        <v>0.3</v>
      </c>
    </row>
    <row r="18" spans="2:26" ht="21" customHeight="1">
      <c r="B18" s="175" t="s">
        <v>50</v>
      </c>
      <c r="C18" s="108"/>
      <c r="D18" s="173"/>
      <c r="E18" s="173"/>
      <c r="F18" s="174"/>
      <c r="G18" s="8">
        <f>COUNTIFS('Auditorías Riesgos 2019-2023'!B:B,$G$5,'Auditorías Riesgos 2019-2023'!G:G,B18)</f>
        <v>1</v>
      </c>
      <c r="H18" s="8">
        <f>COUNTIFS('Auditorías Riesgos 2019-2023'!B:B,$H$5,'Auditorías Riesgos 2019-2023'!G:G,B18)</f>
        <v>0</v>
      </c>
      <c r="I18" s="8">
        <f>COUNTIFS('Auditorías Riesgos 2019-2023'!B:B,$I$5,'Auditorías Riesgos 2019-2023'!G:G,B18)</f>
        <v>1</v>
      </c>
      <c r="J18" s="8">
        <f>COUNTIFS('Auditorías Riesgos 2019-2023'!B:B,$J$5,'Auditorías Riesgos 2019-2023'!G:G,B18)</f>
        <v>0</v>
      </c>
      <c r="K18" s="8">
        <f>COUNTIFS('Auditorías Riesgos 2019-2023'!B:B,$K$5,'Auditorías Riesgos 2019-2023'!G:G,B18)</f>
        <v>1</v>
      </c>
      <c r="L18" s="13">
        <f t="shared" si="7"/>
        <v>3</v>
      </c>
      <c r="M18" s="8">
        <f>IF(L18=0,"-",IF(L18&lt;&gt;0,SUMIF('Auditorías Riesgos 2019-2023'!G:G,B18,'Auditorías Riesgos 2019-2023'!K:K)))</f>
        <v>19</v>
      </c>
      <c r="N18" s="140">
        <f>IF(L18=0,"-",IF(L18&lt;&gt;0,COUNTIFS('Auditorías Riesgos 2019-2023'!G:G,B18,'Auditorías Riesgos 2019-2023'!L:L,"SI")))</f>
        <v>2</v>
      </c>
      <c r="O18" s="148">
        <f t="shared" si="0"/>
        <v>0.66666666666666663</v>
      </c>
      <c r="P18" s="8">
        <f>IF(L18=0,"-",IF(L18&lt;&gt;0,SUMIF('Auditorías Riesgos 2019-2023'!G:G,B18,'Auditorías Riesgos 2019-2023'!O:O)))</f>
        <v>23</v>
      </c>
      <c r="Q18" s="151">
        <f>IF(L18=0,"-",IF(L18&lt;&gt;0,SUMIF('Auditorías Riesgos 2019-2023'!G:G,B18,'Auditorías Riesgos 2019-2023'!P:P)))</f>
        <v>5</v>
      </c>
      <c r="R18" s="148">
        <f t="shared" si="1"/>
        <v>0.21739130434782608</v>
      </c>
      <c r="S18" s="151">
        <f>IF(L18=0,"-",IF(L18&lt;&gt;0,SUMIF('Auditorías Riesgos 2019-2023'!G:G,B18,'Auditorías Riesgos 2019-2023'!Q:Q)))</f>
        <v>6</v>
      </c>
      <c r="T18" s="148">
        <f t="shared" si="2"/>
        <v>0.2608695652173913</v>
      </c>
      <c r="U18" s="151">
        <f>IF(L18=0,"-",IF(L18&lt;&gt;0,SUMIF('Auditorías Riesgos 2019-2023'!G:G,B18,'Auditorías Riesgos 2019-2023'!R:R)))</f>
        <v>12</v>
      </c>
      <c r="V18" s="148">
        <f t="shared" si="3"/>
        <v>0.52173913043478259</v>
      </c>
      <c r="W18" s="8">
        <f>IF(L18=0,"-",IF(L18&lt;&gt;0,SUMIF('Auditorías Riesgos 2019-2023'!G:G,B18,'Auditorías Riesgos 2019-2023'!S:S)))</f>
        <v>0</v>
      </c>
      <c r="X18" s="8">
        <f t="shared" si="4"/>
        <v>23</v>
      </c>
      <c r="Y18" s="151">
        <f>IF(L18=0,"-",IF(L18&lt;&gt;0,SUMIF('Auditorías Riesgos 2019-2023'!G:G,B18,'Auditorías Riesgos 2019-2023'!T:T)))</f>
        <v>2</v>
      </c>
      <c r="Z18" s="148">
        <f t="shared" si="5"/>
        <v>0.10526315789473684</v>
      </c>
    </row>
    <row r="19" spans="2:26" ht="21" hidden="1" customHeight="1">
      <c r="B19" s="175"/>
      <c r="C19" s="108"/>
      <c r="D19" s="173"/>
      <c r="E19" s="173"/>
      <c r="F19" s="174"/>
      <c r="G19" s="8">
        <f>COUNTIFS('Auditorías Riesgos 2019-2023'!B:B,$G$5,'Auditorías Riesgos 2019-2023'!G:G,B19)</f>
        <v>0</v>
      </c>
      <c r="H19" s="8">
        <f>COUNTIFS('Auditorías Riesgos 2019-2023'!B:B,$H$5,'Auditorías Riesgos 2019-2023'!G:G,B19)</f>
        <v>0</v>
      </c>
      <c r="I19" s="8">
        <f>COUNTIFS('Auditorías Riesgos 2019-2023'!B:B,$I$5,'Auditorías Riesgos 2019-2023'!G:G,B19)</f>
        <v>0</v>
      </c>
      <c r="J19" s="8">
        <f>COUNTIFS('Auditorías Riesgos 2019-2023'!B:B,$J$5,'Auditorías Riesgos 2019-2023'!G:G,B19)</f>
        <v>0</v>
      </c>
      <c r="K19" s="8">
        <f>COUNTIFS('Auditorías Riesgos 2019-2023'!B:B,$K$5,'Auditorías Riesgos 2019-2023'!G:G,B19)</f>
        <v>0</v>
      </c>
      <c r="L19" s="13">
        <f t="shared" si="7"/>
        <v>0</v>
      </c>
      <c r="M19" s="8" t="str">
        <f>IF(L19=0,"-",IF(L19&lt;&gt;0,SUMIF('Auditorías Riesgos 2019-2023'!G:G,B19,'Auditorías Riesgos 2019-2023'!K:K)))</f>
        <v>-</v>
      </c>
      <c r="N19" s="140" t="str">
        <f>IF(L19=0,"-",IF(L19&lt;&gt;0,COUNTIFS('Auditorías Riesgos 2019-2023'!G:G,B19,'Auditorías Riesgos 2019-2023'!L:L,"SI")))</f>
        <v>-</v>
      </c>
      <c r="O19" s="148" t="str">
        <f t="shared" si="0"/>
        <v>-</v>
      </c>
      <c r="P19" s="8" t="str">
        <f>IF(L19=0,"-",IF(L19&lt;&gt;0,SUMIF('Auditorías Riesgos 2019-2023'!G:G,B19,'Auditorías Riesgos 2019-2023'!O:O)))</f>
        <v>-</v>
      </c>
      <c r="Q19" s="151" t="str">
        <f>IF(L19=0,"-",IF(L19&lt;&gt;0,SUMIF('Auditorías Riesgos 2019-2023'!G:G,B19,'Auditorías Riesgos 2019-2023'!P:P)))</f>
        <v>-</v>
      </c>
      <c r="R19" s="148" t="str">
        <f t="shared" si="1"/>
        <v>-</v>
      </c>
      <c r="S19" s="151" t="str">
        <f>IF(L19=0,"-",IF(L19&lt;&gt;0,SUMIF('Auditorías Riesgos 2019-2023'!G:G,B19,'Auditorías Riesgos 2019-2023'!Q:Q)))</f>
        <v>-</v>
      </c>
      <c r="T19" s="148" t="str">
        <f t="shared" si="2"/>
        <v>-</v>
      </c>
      <c r="U19" s="151" t="str">
        <f>IF(L19=0,"-",IF(L19&lt;&gt;0,SUMIF('Auditorías Riesgos 2019-2023'!G:G,B19,'Auditorías Riesgos 2019-2023'!R:R)))</f>
        <v>-</v>
      </c>
      <c r="V19" s="148" t="str">
        <f t="shared" si="3"/>
        <v>-</v>
      </c>
      <c r="W19" s="8" t="str">
        <f>IF(L19=0,"-",IF(L19&lt;&gt;0,SUMIF('Auditorías Riesgos 2019-2023'!G:G,B19,'Auditorías Riesgos 2019-2023'!S:S)))</f>
        <v>-</v>
      </c>
      <c r="X19" s="8" t="str">
        <f t="shared" si="4"/>
        <v>-</v>
      </c>
      <c r="Y19" s="151" t="str">
        <f>IF(L19=0,"-",IF(L19&lt;&gt;0,SUMIF('Auditorías Riesgos 2019-2023'!G:G,B19,'Auditorías Riesgos 2019-2023'!T:T)))</f>
        <v>-</v>
      </c>
      <c r="Z19" s="148" t="str">
        <f t="shared" si="5"/>
        <v>-</v>
      </c>
    </row>
    <row r="20" spans="2:26" ht="21" hidden="1" customHeight="1">
      <c r="B20" s="175"/>
      <c r="C20" s="108"/>
      <c r="D20" s="173"/>
      <c r="E20" s="173"/>
      <c r="F20" s="174"/>
      <c r="G20" s="8">
        <f>COUNTIFS('Auditorías Riesgos 2019-2023'!B:B,$G$5,'Auditorías Riesgos 2019-2023'!G:G,B20)</f>
        <v>0</v>
      </c>
      <c r="H20" s="8">
        <f>COUNTIFS('Auditorías Riesgos 2019-2023'!B:B,$H$5,'Auditorías Riesgos 2019-2023'!G:G,B20)</f>
        <v>0</v>
      </c>
      <c r="I20" s="8">
        <f>COUNTIFS('Auditorías Riesgos 2019-2023'!B:B,$I$5,'Auditorías Riesgos 2019-2023'!G:G,B20)</f>
        <v>0</v>
      </c>
      <c r="J20" s="8">
        <f>COUNTIFS('Auditorías Riesgos 2019-2023'!B:B,$J$5,'Auditorías Riesgos 2019-2023'!G:G,B20)</f>
        <v>0</v>
      </c>
      <c r="K20" s="8">
        <f>COUNTIFS('Auditorías Riesgos 2019-2023'!B:B,$K$5,'Auditorías Riesgos 2019-2023'!G:G,B20)</f>
        <v>0</v>
      </c>
      <c r="L20" s="13">
        <f t="shared" si="7"/>
        <v>0</v>
      </c>
      <c r="M20" s="8" t="str">
        <f>IF(L20=0,"-",IF(L20&lt;&gt;0,SUMIF('Auditorías Riesgos 2019-2023'!G:G,B20,'Auditorías Riesgos 2019-2023'!K:K)))</f>
        <v>-</v>
      </c>
      <c r="N20" s="140" t="str">
        <f>IF(L20=0,"-",IF(L20&lt;&gt;0,COUNTIFS('Auditorías Riesgos 2019-2023'!G:G,B20,'Auditorías Riesgos 2019-2023'!L:L,"SI")))</f>
        <v>-</v>
      </c>
      <c r="O20" s="148" t="str">
        <f t="shared" si="0"/>
        <v>-</v>
      </c>
      <c r="P20" s="8" t="str">
        <f>IF(L20=0,"-",IF(L20&lt;&gt;0,SUMIF('Auditorías Riesgos 2019-2023'!G:G,B20,'Auditorías Riesgos 2019-2023'!O:O)))</f>
        <v>-</v>
      </c>
      <c r="Q20" s="151" t="str">
        <f>IF(L20=0,"-",IF(L20&lt;&gt;0,SUMIF('Auditorías Riesgos 2019-2023'!G:G,B20,'Auditorías Riesgos 2019-2023'!P:P)))</f>
        <v>-</v>
      </c>
      <c r="R20" s="148" t="str">
        <f t="shared" si="1"/>
        <v>-</v>
      </c>
      <c r="S20" s="151" t="str">
        <f>IF(L20=0,"-",IF(L20&lt;&gt;0,SUMIF('Auditorías Riesgos 2019-2023'!G:G,B20,'Auditorías Riesgos 2019-2023'!Q:Q)))</f>
        <v>-</v>
      </c>
      <c r="T20" s="148" t="str">
        <f t="shared" si="2"/>
        <v>-</v>
      </c>
      <c r="U20" s="151" t="str">
        <f>IF(L20=0,"-",IF(L20&lt;&gt;0,SUMIF('Auditorías Riesgos 2019-2023'!G:G,B20,'Auditorías Riesgos 2019-2023'!R:R)))</f>
        <v>-</v>
      </c>
      <c r="V20" s="148" t="str">
        <f t="shared" si="3"/>
        <v>-</v>
      </c>
      <c r="W20" s="8" t="str">
        <f>IF(L20=0,"-",IF(L20&lt;&gt;0,SUMIF('Auditorías Riesgos 2019-2023'!G:G,B20,'Auditorías Riesgos 2019-2023'!S:S)))</f>
        <v>-</v>
      </c>
      <c r="X20" s="8" t="str">
        <f t="shared" si="4"/>
        <v>-</v>
      </c>
      <c r="Y20" s="151" t="str">
        <f>IF(L20=0,"-",IF(L20&lt;&gt;0,SUMIF('Auditorías Riesgos 2019-2023'!G:G,B20,'Auditorías Riesgos 2019-2023'!T:T)))</f>
        <v>-</v>
      </c>
      <c r="Z20" s="148" t="str">
        <f t="shared" si="5"/>
        <v>-</v>
      </c>
    </row>
    <row r="21" spans="2:26" ht="21" hidden="1" customHeight="1">
      <c r="B21" s="175"/>
      <c r="C21" s="108"/>
      <c r="D21" s="173"/>
      <c r="E21" s="173"/>
      <c r="F21" s="174"/>
      <c r="G21" s="8">
        <f>COUNTIFS('Auditorías Riesgos 2019-2023'!B:B,$G$5,'Auditorías Riesgos 2019-2023'!G:G,B21)</f>
        <v>0</v>
      </c>
      <c r="H21" s="8">
        <f>COUNTIFS('Auditorías Riesgos 2019-2023'!B:B,$H$5,'Auditorías Riesgos 2019-2023'!G:G,B21)</f>
        <v>0</v>
      </c>
      <c r="I21" s="8">
        <f>COUNTIFS('Auditorías Riesgos 2019-2023'!B:B,$I$5,'Auditorías Riesgos 2019-2023'!G:G,B21)</f>
        <v>0</v>
      </c>
      <c r="J21" s="8">
        <f>COUNTIFS('Auditorías Riesgos 2019-2023'!B:B,$J$5,'Auditorías Riesgos 2019-2023'!G:G,B21)</f>
        <v>0</v>
      </c>
      <c r="K21" s="8">
        <f>COUNTIFS('Auditorías Riesgos 2019-2023'!B:B,$K$5,'Auditorías Riesgos 2019-2023'!G:G,B21)</f>
        <v>0</v>
      </c>
      <c r="L21" s="13">
        <f t="shared" si="7"/>
        <v>0</v>
      </c>
      <c r="M21" s="8" t="str">
        <f>IF(L21=0,"-",IF(L21&lt;&gt;0,SUMIF('Auditorías Riesgos 2019-2023'!G:G,B21,'Auditorías Riesgos 2019-2023'!K:K)))</f>
        <v>-</v>
      </c>
      <c r="N21" s="140" t="str">
        <f>IF(L21=0,"-",IF(L21&lt;&gt;0,COUNTIFS('Auditorías Riesgos 2019-2023'!G:G,B21,'Auditorías Riesgos 2019-2023'!L:L,"SI")))</f>
        <v>-</v>
      </c>
      <c r="O21" s="148" t="str">
        <f t="shared" si="0"/>
        <v>-</v>
      </c>
      <c r="P21" s="8" t="str">
        <f>IF(L21=0,"-",IF(L21&lt;&gt;0,SUMIF('Auditorías Riesgos 2019-2023'!G:G,B21,'Auditorías Riesgos 2019-2023'!O:O)))</f>
        <v>-</v>
      </c>
      <c r="Q21" s="151" t="str">
        <f>IF(L21=0,"-",IF(L21&lt;&gt;0,SUMIF('Auditorías Riesgos 2019-2023'!G:G,B21,'Auditorías Riesgos 2019-2023'!P:P)))</f>
        <v>-</v>
      </c>
      <c r="R21" s="148" t="str">
        <f t="shared" si="1"/>
        <v>-</v>
      </c>
      <c r="S21" s="151" t="str">
        <f>IF(L21=0,"-",IF(L21&lt;&gt;0,SUMIF('Auditorías Riesgos 2019-2023'!G:G,B21,'Auditorías Riesgos 2019-2023'!Q:Q)))</f>
        <v>-</v>
      </c>
      <c r="T21" s="148" t="str">
        <f t="shared" si="2"/>
        <v>-</v>
      </c>
      <c r="U21" s="151" t="str">
        <f>IF(L21=0,"-",IF(L21&lt;&gt;0,SUMIF('Auditorías Riesgos 2019-2023'!G:G,B21,'Auditorías Riesgos 2019-2023'!R:R)))</f>
        <v>-</v>
      </c>
      <c r="V21" s="148" t="str">
        <f t="shared" si="3"/>
        <v>-</v>
      </c>
      <c r="W21" s="8" t="str">
        <f>IF(L21=0,"-",IF(L21&lt;&gt;0,SUMIF('Auditorías Riesgos 2019-2023'!G:G,B21,'Auditorías Riesgos 2019-2023'!S:S)))</f>
        <v>-</v>
      </c>
      <c r="X21" s="8" t="str">
        <f t="shared" si="4"/>
        <v>-</v>
      </c>
      <c r="Y21" s="151" t="str">
        <f>IF(L21=0,"-",IF(L21&lt;&gt;0,SUMIF('Auditorías Riesgos 2019-2023'!G:G,B21,'Auditorías Riesgos 2019-2023'!T:T)))</f>
        <v>-</v>
      </c>
      <c r="Z21" s="148" t="str">
        <f t="shared" si="5"/>
        <v>-</v>
      </c>
    </row>
    <row r="22" spans="2:26" ht="21" hidden="1" customHeight="1">
      <c r="B22" s="175"/>
      <c r="C22" s="108"/>
      <c r="D22" s="173"/>
      <c r="E22" s="173"/>
      <c r="F22" s="174"/>
      <c r="G22" s="8">
        <f>COUNTIFS('Auditorías Riesgos 2019-2023'!B:B,$G$5,'Auditorías Riesgos 2019-2023'!G:G,B22)</f>
        <v>0</v>
      </c>
      <c r="H22" s="8">
        <f>COUNTIFS('Auditorías Riesgos 2019-2023'!B:B,$H$5,'Auditorías Riesgos 2019-2023'!G:G,B22)</f>
        <v>0</v>
      </c>
      <c r="I22" s="8">
        <f>COUNTIFS('Auditorías Riesgos 2019-2023'!B:B,$I$5,'Auditorías Riesgos 2019-2023'!G:G,B22)</f>
        <v>0</v>
      </c>
      <c r="J22" s="8">
        <f>COUNTIFS('Auditorías Riesgos 2019-2023'!B:B,$J$5,'Auditorías Riesgos 2019-2023'!G:G,B22)</f>
        <v>0</v>
      </c>
      <c r="K22" s="8">
        <f>COUNTIFS('Auditorías Riesgos 2019-2023'!B:B,$K$5,'Auditorías Riesgos 2019-2023'!G:G,B22)</f>
        <v>0</v>
      </c>
      <c r="L22" s="13">
        <f t="shared" si="7"/>
        <v>0</v>
      </c>
      <c r="M22" s="8" t="str">
        <f>IF(L22=0,"-",IF(L22&lt;&gt;0,SUMIF('Auditorías Riesgos 2019-2023'!G:G,B22,'Auditorías Riesgos 2019-2023'!K:K)))</f>
        <v>-</v>
      </c>
      <c r="N22" s="140" t="str">
        <f>IF(L22=0,"-",IF(L22&lt;&gt;0,COUNTIFS('Auditorías Riesgos 2019-2023'!G:G,B22,'Auditorías Riesgos 2019-2023'!L:L,"SI")))</f>
        <v>-</v>
      </c>
      <c r="O22" s="148" t="str">
        <f t="shared" si="0"/>
        <v>-</v>
      </c>
      <c r="P22" s="8" t="str">
        <f>IF(L22=0,"-",IF(L22&lt;&gt;0,SUMIF('Auditorías Riesgos 2019-2023'!G:G,B22,'Auditorías Riesgos 2019-2023'!O:O)))</f>
        <v>-</v>
      </c>
      <c r="Q22" s="151" t="str">
        <f>IF(L22=0,"-",IF(L22&lt;&gt;0,SUMIF('Auditorías Riesgos 2019-2023'!G:G,B22,'Auditorías Riesgos 2019-2023'!P:P)))</f>
        <v>-</v>
      </c>
      <c r="R22" s="148" t="str">
        <f t="shared" si="1"/>
        <v>-</v>
      </c>
      <c r="S22" s="151" t="str">
        <f>IF(L22=0,"-",IF(L22&lt;&gt;0,SUMIF('Auditorías Riesgos 2019-2023'!G:G,B22,'Auditorías Riesgos 2019-2023'!Q:Q)))</f>
        <v>-</v>
      </c>
      <c r="T22" s="148" t="str">
        <f t="shared" si="2"/>
        <v>-</v>
      </c>
      <c r="U22" s="151" t="str">
        <f>IF(L22=0,"-",IF(L22&lt;&gt;0,SUMIF('Auditorías Riesgos 2019-2023'!G:G,B22,'Auditorías Riesgos 2019-2023'!R:R)))</f>
        <v>-</v>
      </c>
      <c r="V22" s="148" t="str">
        <f t="shared" si="3"/>
        <v>-</v>
      </c>
      <c r="W22" s="8" t="str">
        <f>IF(L22=0,"-",IF(L22&lt;&gt;0,SUMIF('Auditorías Riesgos 2019-2023'!G:G,B22,'Auditorías Riesgos 2019-2023'!S:S)))</f>
        <v>-</v>
      </c>
      <c r="X22" s="8" t="str">
        <f t="shared" si="4"/>
        <v>-</v>
      </c>
      <c r="Y22" s="151" t="str">
        <f>IF(L22=0,"-",IF(L22&lt;&gt;0,SUMIF('Auditorías Riesgos 2019-2023'!G:G,B22,'Auditorías Riesgos 2019-2023'!T:T)))</f>
        <v>-</v>
      </c>
      <c r="Z22" s="148" t="str">
        <f t="shared" si="5"/>
        <v>-</v>
      </c>
    </row>
    <row r="23" spans="2:26" ht="21" hidden="1" customHeight="1">
      <c r="B23" s="175"/>
      <c r="C23" s="108"/>
      <c r="D23" s="173"/>
      <c r="E23" s="173"/>
      <c r="F23" s="174"/>
      <c r="G23" s="8">
        <f>COUNTIFS('Auditorías Riesgos 2019-2023'!B:B,$G$5,'Auditorías Riesgos 2019-2023'!G:G,B23)</f>
        <v>0</v>
      </c>
      <c r="H23" s="8">
        <f>COUNTIFS('Auditorías Riesgos 2019-2023'!B:B,$H$5,'Auditorías Riesgos 2019-2023'!G:G,B23)</f>
        <v>0</v>
      </c>
      <c r="I23" s="8">
        <f>COUNTIFS('Auditorías Riesgos 2019-2023'!B:B,$I$5,'Auditorías Riesgos 2019-2023'!G:G,B23)</f>
        <v>0</v>
      </c>
      <c r="J23" s="8">
        <f>COUNTIFS('Auditorías Riesgos 2019-2023'!B:B,$J$5,'Auditorías Riesgos 2019-2023'!G:G,B23)</f>
        <v>0</v>
      </c>
      <c r="K23" s="8">
        <f>COUNTIFS('Auditorías Riesgos 2019-2023'!B:B,$K$5,'Auditorías Riesgos 2019-2023'!G:G,B23)</f>
        <v>0</v>
      </c>
      <c r="L23" s="13">
        <f t="shared" si="7"/>
        <v>0</v>
      </c>
      <c r="M23" s="8" t="str">
        <f>IF(L23=0,"-",IF(L23&lt;&gt;0,SUMIF('Auditorías Riesgos 2019-2023'!G:G,B23,'Auditorías Riesgos 2019-2023'!K:K)))</f>
        <v>-</v>
      </c>
      <c r="N23" s="140" t="str">
        <f>IF(L23=0,"-",IF(L23&lt;&gt;0,COUNTIFS('Auditorías Riesgos 2019-2023'!G:G,B23,'Auditorías Riesgos 2019-2023'!L:L,"SI")))</f>
        <v>-</v>
      </c>
      <c r="O23" s="148" t="str">
        <f t="shared" si="0"/>
        <v>-</v>
      </c>
      <c r="P23" s="8" t="str">
        <f>IF(L23=0,"-",IF(L23&lt;&gt;0,SUMIF('Auditorías Riesgos 2019-2023'!G:G,B23,'Auditorías Riesgos 2019-2023'!O:O)))</f>
        <v>-</v>
      </c>
      <c r="Q23" s="151" t="str">
        <f>IF(L23=0,"-",IF(L23&lt;&gt;0,SUMIF('Auditorías Riesgos 2019-2023'!G:G,B23,'Auditorías Riesgos 2019-2023'!P:P)))</f>
        <v>-</v>
      </c>
      <c r="R23" s="148" t="str">
        <f t="shared" si="1"/>
        <v>-</v>
      </c>
      <c r="S23" s="151" t="str">
        <f>IF(L23=0,"-",IF(L23&lt;&gt;0,SUMIF('Auditorías Riesgos 2019-2023'!G:G,B23,'Auditorías Riesgos 2019-2023'!Q:Q)))</f>
        <v>-</v>
      </c>
      <c r="T23" s="148" t="str">
        <f t="shared" si="2"/>
        <v>-</v>
      </c>
      <c r="U23" s="151" t="str">
        <f>IF(L23=0,"-",IF(L23&lt;&gt;0,SUMIF('Auditorías Riesgos 2019-2023'!G:G,B23,'Auditorías Riesgos 2019-2023'!R:R)))</f>
        <v>-</v>
      </c>
      <c r="V23" s="148" t="str">
        <f t="shared" si="3"/>
        <v>-</v>
      </c>
      <c r="W23" s="8" t="str">
        <f>IF(L23=0,"-",IF(L23&lt;&gt;0,SUMIF('Auditorías Riesgos 2019-2023'!G:G,B23,'Auditorías Riesgos 2019-2023'!S:S)))</f>
        <v>-</v>
      </c>
      <c r="X23" s="8" t="str">
        <f t="shared" si="4"/>
        <v>-</v>
      </c>
      <c r="Y23" s="151" t="str">
        <f>IF(L23=0,"-",IF(L23&lt;&gt;0,SUMIF('Auditorías Riesgos 2019-2023'!G:G,B23,'Auditorías Riesgos 2019-2023'!T:T)))</f>
        <v>-</v>
      </c>
      <c r="Z23" s="148" t="str">
        <f t="shared" si="5"/>
        <v>-</v>
      </c>
    </row>
    <row r="24" spans="2:26" ht="21" hidden="1" customHeight="1">
      <c r="B24" s="175"/>
      <c r="C24" s="108"/>
      <c r="D24" s="173"/>
      <c r="E24" s="173"/>
      <c r="F24" s="174"/>
      <c r="G24" s="8">
        <f>COUNTIFS('Auditorías Riesgos 2019-2023'!B:B,$G$5,'Auditorías Riesgos 2019-2023'!G:G,B24)</f>
        <v>0</v>
      </c>
      <c r="H24" s="8">
        <f>COUNTIFS('Auditorías Riesgos 2019-2023'!B:B,$H$5,'Auditorías Riesgos 2019-2023'!G:G,B24)</f>
        <v>0</v>
      </c>
      <c r="I24" s="8">
        <f>COUNTIFS('Auditorías Riesgos 2019-2023'!B:B,$I$5,'Auditorías Riesgos 2019-2023'!G:G,B24)</f>
        <v>0</v>
      </c>
      <c r="J24" s="8">
        <f>COUNTIFS('Auditorías Riesgos 2019-2023'!B:B,$J$5,'Auditorías Riesgos 2019-2023'!G:G,B24)</f>
        <v>0</v>
      </c>
      <c r="K24" s="8">
        <f>COUNTIFS('Auditorías Riesgos 2019-2023'!B:B,$K$5,'Auditorías Riesgos 2019-2023'!G:G,B24)</f>
        <v>0</v>
      </c>
      <c r="L24" s="13">
        <f t="shared" si="7"/>
        <v>0</v>
      </c>
      <c r="M24" s="8" t="str">
        <f>IF(L24=0,"-",IF(L24&lt;&gt;0,SUMIF('Auditorías Riesgos 2019-2023'!G:G,B24,'Auditorías Riesgos 2019-2023'!K:K)))</f>
        <v>-</v>
      </c>
      <c r="N24" s="140" t="str">
        <f>IF(L24=0,"-",IF(L24&lt;&gt;0,COUNTIFS('Auditorías Riesgos 2019-2023'!G:G,B24,'Auditorías Riesgos 2019-2023'!L:L,"SI")))</f>
        <v>-</v>
      </c>
      <c r="O24" s="148" t="str">
        <f t="shared" si="0"/>
        <v>-</v>
      </c>
      <c r="P24" s="8" t="str">
        <f>IF(L24=0,"-",IF(L24&lt;&gt;0,SUMIF('Auditorías Riesgos 2019-2023'!G:G,B24,'Auditorías Riesgos 2019-2023'!O:O)))</f>
        <v>-</v>
      </c>
      <c r="Q24" s="151" t="str">
        <f>IF(L24=0,"-",IF(L24&lt;&gt;0,SUMIF('Auditorías Riesgos 2019-2023'!G:G,B24,'Auditorías Riesgos 2019-2023'!P:P)))</f>
        <v>-</v>
      </c>
      <c r="R24" s="148" t="str">
        <f t="shared" si="1"/>
        <v>-</v>
      </c>
      <c r="S24" s="151" t="str">
        <f>IF(L24=0,"-",IF(L24&lt;&gt;0,SUMIF('Auditorías Riesgos 2019-2023'!G:G,B24,'Auditorías Riesgos 2019-2023'!Q:Q)))</f>
        <v>-</v>
      </c>
      <c r="T24" s="148" t="str">
        <f t="shared" si="2"/>
        <v>-</v>
      </c>
      <c r="U24" s="151" t="str">
        <f>IF(L24=0,"-",IF(L24&lt;&gt;0,SUMIF('Auditorías Riesgos 2019-2023'!G:G,B24,'Auditorías Riesgos 2019-2023'!R:R)))</f>
        <v>-</v>
      </c>
      <c r="V24" s="148" t="str">
        <f t="shared" si="3"/>
        <v>-</v>
      </c>
      <c r="W24" s="8" t="str">
        <f>IF(L24=0,"-",IF(L24&lt;&gt;0,SUMIF('Auditorías Riesgos 2019-2023'!G:G,B24,'Auditorías Riesgos 2019-2023'!S:S)))</f>
        <v>-</v>
      </c>
      <c r="X24" s="8" t="str">
        <f t="shared" si="4"/>
        <v>-</v>
      </c>
      <c r="Y24" s="151" t="str">
        <f>IF(L24=0,"-",IF(L24&lt;&gt;0,SUMIF('Auditorías Riesgos 2019-2023'!G:G,B24,'Auditorías Riesgos 2019-2023'!T:T)))</f>
        <v>-</v>
      </c>
      <c r="Z24" s="148" t="str">
        <f t="shared" si="5"/>
        <v>-</v>
      </c>
    </row>
    <row r="25" spans="2:26" ht="21" hidden="1" customHeight="1">
      <c r="B25" s="175"/>
      <c r="C25" s="108"/>
      <c r="D25" s="173"/>
      <c r="E25" s="173"/>
      <c r="F25" s="174"/>
      <c r="G25" s="8">
        <f>COUNTIFS('Auditorías Riesgos 2019-2023'!B:B,$G$5,'Auditorías Riesgos 2019-2023'!G:G,B25)</f>
        <v>0</v>
      </c>
      <c r="H25" s="8">
        <f>COUNTIFS('Auditorías Riesgos 2019-2023'!B:B,$H$5,'Auditorías Riesgos 2019-2023'!G:G,B25)</f>
        <v>0</v>
      </c>
      <c r="I25" s="8">
        <f>COUNTIFS('Auditorías Riesgos 2019-2023'!B:B,$I$5,'Auditorías Riesgos 2019-2023'!G:G,B25)</f>
        <v>0</v>
      </c>
      <c r="J25" s="8">
        <f>COUNTIFS('Auditorías Riesgos 2019-2023'!B:B,$J$5,'Auditorías Riesgos 2019-2023'!G:G,B25)</f>
        <v>0</v>
      </c>
      <c r="K25" s="8">
        <f>COUNTIFS('Auditorías Riesgos 2019-2023'!B:B,$K$5,'Auditorías Riesgos 2019-2023'!G:G,B25)</f>
        <v>0</v>
      </c>
      <c r="L25" s="13">
        <f t="shared" si="7"/>
        <v>0</v>
      </c>
      <c r="M25" s="8" t="str">
        <f>IF(L25=0,"-",IF(L25&lt;&gt;0,SUMIF('Auditorías Riesgos 2019-2023'!G:G,B25,'Auditorías Riesgos 2019-2023'!K:K)))</f>
        <v>-</v>
      </c>
      <c r="N25" s="140" t="str">
        <f>IF(L25=0,"-",IF(L25&lt;&gt;0,COUNTIFS('Auditorías Riesgos 2019-2023'!G:G,B25,'Auditorías Riesgos 2019-2023'!L:L,"SI")))</f>
        <v>-</v>
      </c>
      <c r="O25" s="148" t="str">
        <f t="shared" si="0"/>
        <v>-</v>
      </c>
      <c r="P25" s="8" t="str">
        <f>IF(L25=0,"-",IF(L25&lt;&gt;0,SUMIF('Auditorías Riesgos 2019-2023'!G:G,B25,'Auditorías Riesgos 2019-2023'!O:O)))</f>
        <v>-</v>
      </c>
      <c r="Q25" s="151" t="str">
        <f>IF(L25=0,"-",IF(L25&lt;&gt;0,SUMIF('Auditorías Riesgos 2019-2023'!G:G,B25,'Auditorías Riesgos 2019-2023'!P:P)))</f>
        <v>-</v>
      </c>
      <c r="R25" s="148" t="str">
        <f t="shared" si="1"/>
        <v>-</v>
      </c>
      <c r="S25" s="151" t="str">
        <f>IF(L25=0,"-",IF(L25&lt;&gt;0,SUMIF('Auditorías Riesgos 2019-2023'!G:G,B25,'Auditorías Riesgos 2019-2023'!Q:Q)))</f>
        <v>-</v>
      </c>
      <c r="T25" s="148" t="str">
        <f t="shared" si="2"/>
        <v>-</v>
      </c>
      <c r="U25" s="151" t="str">
        <f>IF(L25=0,"-",IF(L25&lt;&gt;0,SUMIF('Auditorías Riesgos 2019-2023'!G:G,B25,'Auditorías Riesgos 2019-2023'!R:R)))</f>
        <v>-</v>
      </c>
      <c r="V25" s="148" t="str">
        <f t="shared" si="3"/>
        <v>-</v>
      </c>
      <c r="W25" s="8" t="str">
        <f>IF(L25=0,"-",IF(L25&lt;&gt;0,SUMIF('Auditorías Riesgos 2019-2023'!G:G,B25,'Auditorías Riesgos 2019-2023'!S:S)))</f>
        <v>-</v>
      </c>
      <c r="X25" s="8" t="str">
        <f t="shared" si="4"/>
        <v>-</v>
      </c>
      <c r="Y25" s="151" t="str">
        <f>IF(L25=0,"-",IF(L25&lt;&gt;0,SUMIF('Auditorías Riesgos 2019-2023'!G:G,B25,'Auditorías Riesgos 2019-2023'!T:T)))</f>
        <v>-</v>
      </c>
      <c r="Z25" s="148" t="str">
        <f t="shared" si="5"/>
        <v>-</v>
      </c>
    </row>
    <row r="26" spans="2:26" ht="21" hidden="1" customHeight="1">
      <c r="B26" s="175"/>
      <c r="C26" s="108"/>
      <c r="D26" s="173"/>
      <c r="E26" s="173"/>
      <c r="F26" s="174"/>
      <c r="G26" s="8">
        <f>COUNTIFS('Auditorías Riesgos 2019-2023'!B:B,$G$5,'Auditorías Riesgos 2019-2023'!G:G,B26)</f>
        <v>0</v>
      </c>
      <c r="H26" s="8">
        <f>COUNTIFS('Auditorías Riesgos 2019-2023'!B:B,$H$5,'Auditorías Riesgos 2019-2023'!G:G,B26)</f>
        <v>0</v>
      </c>
      <c r="I26" s="8">
        <f>COUNTIFS('Auditorías Riesgos 2019-2023'!B:B,$I$5,'Auditorías Riesgos 2019-2023'!G:G,B26)</f>
        <v>0</v>
      </c>
      <c r="J26" s="8">
        <f>COUNTIFS('Auditorías Riesgos 2019-2023'!B:B,$J$5,'Auditorías Riesgos 2019-2023'!G:G,B26)</f>
        <v>0</v>
      </c>
      <c r="K26" s="8">
        <f>COUNTIFS('Auditorías Riesgos 2019-2023'!B:B,$K$5,'Auditorías Riesgos 2019-2023'!G:G,B26)</f>
        <v>0</v>
      </c>
      <c r="L26" s="13">
        <f t="shared" si="7"/>
        <v>0</v>
      </c>
      <c r="M26" s="8" t="str">
        <f>IF(L26=0,"-",IF(L26&lt;&gt;0,SUMIF('Auditorías Riesgos 2019-2023'!G:G,B26,'Auditorías Riesgos 2019-2023'!K:K)))</f>
        <v>-</v>
      </c>
      <c r="N26" s="140" t="str">
        <f>IF(L26=0,"-",IF(L26&lt;&gt;0,COUNTIFS('Auditorías Riesgos 2019-2023'!G:G,B26,'Auditorías Riesgos 2019-2023'!L:L,"SI")))</f>
        <v>-</v>
      </c>
      <c r="O26" s="148" t="str">
        <f t="shared" si="0"/>
        <v>-</v>
      </c>
      <c r="P26" s="8" t="str">
        <f>IF(L26=0,"-",IF(L26&lt;&gt;0,SUMIF('Auditorías Riesgos 2019-2023'!G:G,B26,'Auditorías Riesgos 2019-2023'!O:O)))</f>
        <v>-</v>
      </c>
      <c r="Q26" s="151" t="str">
        <f>IF(L26=0,"-",IF(L26&lt;&gt;0,SUMIF('Auditorías Riesgos 2019-2023'!G:G,B26,'Auditorías Riesgos 2019-2023'!P:P)))</f>
        <v>-</v>
      </c>
      <c r="R26" s="148" t="str">
        <f t="shared" si="1"/>
        <v>-</v>
      </c>
      <c r="S26" s="151" t="str">
        <f>IF(L26=0,"-",IF(L26&lt;&gt;0,SUMIF('Auditorías Riesgos 2019-2023'!G:G,B26,'Auditorías Riesgos 2019-2023'!Q:Q)))</f>
        <v>-</v>
      </c>
      <c r="T26" s="148" t="str">
        <f t="shared" si="2"/>
        <v>-</v>
      </c>
      <c r="U26" s="151" t="str">
        <f>IF(L26=0,"-",IF(L26&lt;&gt;0,SUMIF('Auditorías Riesgos 2019-2023'!G:G,B26,'Auditorías Riesgos 2019-2023'!R:R)))</f>
        <v>-</v>
      </c>
      <c r="V26" s="148" t="str">
        <f t="shared" si="3"/>
        <v>-</v>
      </c>
      <c r="W26" s="8" t="str">
        <f>IF(L26=0,"-",IF(L26&lt;&gt;0,SUMIF('Auditorías Riesgos 2019-2023'!G:G,B26,'Auditorías Riesgos 2019-2023'!S:S)))</f>
        <v>-</v>
      </c>
      <c r="X26" s="8" t="str">
        <f t="shared" si="4"/>
        <v>-</v>
      </c>
      <c r="Y26" s="151" t="str">
        <f>IF(L26=0,"-",IF(L26&lt;&gt;0,SUMIF('Auditorías Riesgos 2019-2023'!G:G,B26,'Auditorías Riesgos 2019-2023'!T:T)))</f>
        <v>-</v>
      </c>
      <c r="Z26" s="148" t="str">
        <f t="shared" si="5"/>
        <v>-</v>
      </c>
    </row>
    <row r="27" spans="2:26" ht="21" hidden="1" customHeight="1">
      <c r="B27" s="175"/>
      <c r="C27" s="108"/>
      <c r="D27" s="173"/>
      <c r="E27" s="173"/>
      <c r="F27" s="174"/>
      <c r="G27" s="8">
        <f>COUNTIFS('Auditorías Riesgos 2019-2023'!B:B,$G$5,'Auditorías Riesgos 2019-2023'!G:G,B27)</f>
        <v>0</v>
      </c>
      <c r="H27" s="8">
        <f>COUNTIFS('Auditorías Riesgos 2019-2023'!B:B,$H$5,'Auditorías Riesgos 2019-2023'!G:G,B27)</f>
        <v>0</v>
      </c>
      <c r="I27" s="8">
        <f>COUNTIFS('Auditorías Riesgos 2019-2023'!B:B,$I$5,'Auditorías Riesgos 2019-2023'!G:G,B27)</f>
        <v>0</v>
      </c>
      <c r="J27" s="8">
        <f>COUNTIFS('Auditorías Riesgos 2019-2023'!B:B,$J$5,'Auditorías Riesgos 2019-2023'!G:G,B27)</f>
        <v>0</v>
      </c>
      <c r="K27" s="8">
        <f>COUNTIFS('Auditorías Riesgos 2019-2023'!B:B,$K$5,'Auditorías Riesgos 2019-2023'!G:G,B27)</f>
        <v>0</v>
      </c>
      <c r="L27" s="13">
        <f t="shared" si="7"/>
        <v>0</v>
      </c>
      <c r="M27" s="8" t="str">
        <f>IF(L27=0,"-",IF(L27&lt;&gt;0,SUMIF('Auditorías Riesgos 2019-2023'!G:G,B27,'Auditorías Riesgos 2019-2023'!K:K)))</f>
        <v>-</v>
      </c>
      <c r="N27" s="140" t="str">
        <f>IF(L27=0,"-",IF(L27&lt;&gt;0,COUNTIFS('Auditorías Riesgos 2019-2023'!G:G,B27,'Auditorías Riesgos 2019-2023'!L:L,"SI")))</f>
        <v>-</v>
      </c>
      <c r="O27" s="148" t="str">
        <f t="shared" si="0"/>
        <v>-</v>
      </c>
      <c r="P27" s="8" t="str">
        <f>IF(L27=0,"-",IF(L27&lt;&gt;0,SUMIF('Auditorías Riesgos 2019-2023'!G:G,B27,'Auditorías Riesgos 2019-2023'!O:O)))</f>
        <v>-</v>
      </c>
      <c r="Q27" s="151" t="str">
        <f>IF(L27=0,"-",IF(L27&lt;&gt;0,SUMIF('Auditorías Riesgos 2019-2023'!G:G,B27,'Auditorías Riesgos 2019-2023'!P:P)))</f>
        <v>-</v>
      </c>
      <c r="R27" s="148" t="str">
        <f t="shared" si="1"/>
        <v>-</v>
      </c>
      <c r="S27" s="151" t="str">
        <f>IF(L27=0,"-",IF(L27&lt;&gt;0,SUMIF('Auditorías Riesgos 2019-2023'!G:G,B27,'Auditorías Riesgos 2019-2023'!Q:Q)))</f>
        <v>-</v>
      </c>
      <c r="T27" s="148" t="str">
        <f t="shared" si="2"/>
        <v>-</v>
      </c>
      <c r="U27" s="151" t="str">
        <f>IF(L27=0,"-",IF(L27&lt;&gt;0,SUMIF('Auditorías Riesgos 2019-2023'!G:G,B27,'Auditorías Riesgos 2019-2023'!R:R)))</f>
        <v>-</v>
      </c>
      <c r="V27" s="148" t="str">
        <f t="shared" si="3"/>
        <v>-</v>
      </c>
      <c r="W27" s="8" t="str">
        <f>IF(L27=0,"-",IF(L27&lt;&gt;0,SUMIF('Auditorías Riesgos 2019-2023'!G:G,B27,'Auditorías Riesgos 2019-2023'!S:S)))</f>
        <v>-</v>
      </c>
      <c r="X27" s="8" t="str">
        <f t="shared" si="4"/>
        <v>-</v>
      </c>
      <c r="Y27" s="151" t="str">
        <f>IF(L27=0,"-",IF(L27&lt;&gt;0,SUMIF('Auditorías Riesgos 2019-2023'!G:G,B27,'Auditorías Riesgos 2019-2023'!T:T)))</f>
        <v>-</v>
      </c>
      <c r="Z27" s="148" t="str">
        <f t="shared" si="5"/>
        <v>-</v>
      </c>
    </row>
    <row r="28" spans="2:26" ht="21" hidden="1" customHeight="1">
      <c r="B28" s="175"/>
      <c r="C28" s="108"/>
      <c r="D28" s="108"/>
      <c r="E28" s="108"/>
      <c r="F28" s="109"/>
      <c r="G28" s="8">
        <f>COUNTIFS('Auditorías Riesgos 2019-2023'!B:B,$G$5,'Auditorías Riesgos 2019-2023'!G:G,B28)</f>
        <v>0</v>
      </c>
      <c r="H28" s="8">
        <f>COUNTIFS('Auditorías Riesgos 2019-2023'!B:B,$H$5,'Auditorías Riesgos 2019-2023'!G:G,B28)</f>
        <v>0</v>
      </c>
      <c r="I28" s="8">
        <f>COUNTIFS('Auditorías Riesgos 2019-2023'!B:B,$I$5,'Auditorías Riesgos 2019-2023'!G:G,B28)</f>
        <v>0</v>
      </c>
      <c r="J28" s="8">
        <f>COUNTIFS('Auditorías Riesgos 2019-2023'!B:B,$J$5,'Auditorías Riesgos 2019-2023'!G:G,B28)</f>
        <v>0</v>
      </c>
      <c r="K28" s="8">
        <f>COUNTIFS('Auditorías Riesgos 2019-2023'!B:B,$K$5,'Auditorías Riesgos 2019-2023'!G:G,B28)</f>
        <v>0</v>
      </c>
      <c r="L28" s="13">
        <f>SUM(G28:K28)</f>
        <v>0</v>
      </c>
      <c r="M28" s="8" t="str">
        <f>IF(L28=0,"-",IF(L28&lt;&gt;0,SUMIF('Auditorías Riesgos 2019-2023'!G:G,B28,'Auditorías Riesgos 2019-2023'!K:K)))</f>
        <v>-</v>
      </c>
      <c r="N28" s="140" t="str">
        <f>IF(L28=0,"-",IF(L28&lt;&gt;0,COUNTIFS('Auditorías Riesgos 2019-2023'!G:G,B28,'Auditorías Riesgos 2019-2023'!L:L,"SI")))</f>
        <v>-</v>
      </c>
      <c r="O28" s="148" t="str">
        <f t="shared" si="0"/>
        <v>-</v>
      </c>
      <c r="P28" s="8" t="str">
        <f>IF(L28=0,"-",IF(L28&lt;&gt;0,SUMIF('Auditorías Riesgos 2019-2023'!G:G,B28,'Auditorías Riesgos 2019-2023'!O:O)))</f>
        <v>-</v>
      </c>
      <c r="Q28" s="151" t="str">
        <f>IF(L28=0,"-",IF(L28&lt;&gt;0,SUMIF('Auditorías Riesgos 2019-2023'!G:G,B28,'Auditorías Riesgos 2019-2023'!P:P)))</f>
        <v>-</v>
      </c>
      <c r="R28" s="148" t="str">
        <f t="shared" si="1"/>
        <v>-</v>
      </c>
      <c r="S28" s="151" t="str">
        <f>IF(L28=0,"-",IF(L28&lt;&gt;0,SUMIF('Auditorías Riesgos 2019-2023'!G:G,B28,'Auditorías Riesgos 2019-2023'!Q:Q)))</f>
        <v>-</v>
      </c>
      <c r="T28" s="148" t="str">
        <f t="shared" si="2"/>
        <v>-</v>
      </c>
      <c r="U28" s="151" t="str">
        <f>IF(L28=0,"-",IF(L28&lt;&gt;0,SUMIF('Auditorías Riesgos 2019-2023'!G:G,B28,'Auditorías Riesgos 2019-2023'!R:R)))</f>
        <v>-</v>
      </c>
      <c r="V28" s="148" t="str">
        <f t="shared" si="3"/>
        <v>-</v>
      </c>
      <c r="W28" s="8" t="str">
        <f>IF(L28=0,"-",IF(L28&lt;&gt;0,SUMIF('Auditorías Riesgos 2019-2023'!G:G,B28,'Auditorías Riesgos 2019-2023'!S:S)))</f>
        <v>-</v>
      </c>
      <c r="X28" s="8" t="str">
        <f t="shared" si="4"/>
        <v>-</v>
      </c>
      <c r="Y28" s="151" t="str">
        <f>IF(L28=0,"-",IF(L28&lt;&gt;0,SUMIF('Auditorías Riesgos 2019-2023'!G:G,B28,'Auditorías Riesgos 2019-2023'!T:T)))</f>
        <v>-</v>
      </c>
      <c r="Z28" s="148" t="str">
        <f t="shared" si="5"/>
        <v>-</v>
      </c>
    </row>
    <row r="29" spans="2:26" ht="21" hidden="1" customHeight="1">
      <c r="B29" s="172"/>
      <c r="C29" s="176"/>
      <c r="D29" s="108"/>
      <c r="E29" s="108"/>
      <c r="F29" s="109"/>
      <c r="G29" s="8">
        <f>COUNTIFS('Auditorías Riesgos 2019-2023'!B:B,$G$5,'Auditorías Riesgos 2019-2023'!G:G,B29)</f>
        <v>0</v>
      </c>
      <c r="H29" s="8">
        <f>COUNTIFS('Auditorías Riesgos 2019-2023'!B:B,$H$5,'Auditorías Riesgos 2019-2023'!G:G,B29)</f>
        <v>0</v>
      </c>
      <c r="I29" s="8">
        <f>COUNTIFS('Auditorías Riesgos 2019-2023'!B:B,$I$5,'Auditorías Riesgos 2019-2023'!G:G,B29)</f>
        <v>0</v>
      </c>
      <c r="J29" s="8">
        <f>COUNTIFS('Auditorías Riesgos 2019-2023'!B:B,$J$5,'Auditorías Riesgos 2019-2023'!G:G,B29)</f>
        <v>0</v>
      </c>
      <c r="K29" s="8">
        <f>COUNTIFS('Auditorías Riesgos 2019-2023'!B:B,$K$5,'Auditorías Riesgos 2019-2023'!G:G,B29)</f>
        <v>0</v>
      </c>
      <c r="L29" s="13">
        <f>SUM(G29:K29)</f>
        <v>0</v>
      </c>
      <c r="M29" s="8" t="str">
        <f>IF(L29=0,"-",IF(L29&lt;&gt;0,SUMIF('Auditorías Riesgos 2019-2023'!G:G,B29,'Auditorías Riesgos 2019-2023'!K:K)))</f>
        <v>-</v>
      </c>
      <c r="N29" s="140" t="str">
        <f>IF(L29=0,"-",IF(L29&lt;&gt;0,COUNTIFS('Auditorías Riesgos 2019-2023'!G:G,B29,'Auditorías Riesgos 2019-2023'!L:L,"SI")))</f>
        <v>-</v>
      </c>
      <c r="O29" s="148" t="str">
        <f t="shared" si="0"/>
        <v>-</v>
      </c>
      <c r="P29" s="8" t="str">
        <f>IF(L29=0,"-",IF(L29&lt;&gt;0,SUMIF('Auditorías Riesgos 2019-2023'!G:G,B29,'Auditorías Riesgos 2019-2023'!O:O)))</f>
        <v>-</v>
      </c>
      <c r="Q29" s="151" t="str">
        <f>IF(L29=0,"-",IF(L29&lt;&gt;0,SUMIF('Auditorías Riesgos 2019-2023'!G:G,B29,'Auditorías Riesgos 2019-2023'!P:P)))</f>
        <v>-</v>
      </c>
      <c r="R29" s="148" t="str">
        <f t="shared" si="1"/>
        <v>-</v>
      </c>
      <c r="S29" s="151" t="str">
        <f>IF(L29=0,"-",IF(L29&lt;&gt;0,SUMIF('Auditorías Riesgos 2019-2023'!G:G,B29,'Auditorías Riesgos 2019-2023'!Q:Q)))</f>
        <v>-</v>
      </c>
      <c r="T29" s="148" t="str">
        <f t="shared" si="2"/>
        <v>-</v>
      </c>
      <c r="U29" s="151" t="str">
        <f>IF(L29=0,"-",IF(L29&lt;&gt;0,SUMIF('Auditorías Riesgos 2019-2023'!G:G,B29,'Auditorías Riesgos 2019-2023'!R:R)))</f>
        <v>-</v>
      </c>
      <c r="V29" s="148" t="str">
        <f t="shared" si="3"/>
        <v>-</v>
      </c>
      <c r="W29" s="8" t="str">
        <f>IF(L29=0,"-",IF(L29&lt;&gt;0,SUMIF('Auditorías Riesgos 2019-2023'!G:G,B29,'Auditorías Riesgos 2019-2023'!S:S)))</f>
        <v>-</v>
      </c>
      <c r="X29" s="8" t="str">
        <f t="shared" si="4"/>
        <v>-</v>
      </c>
      <c r="Y29" s="151" t="str">
        <f>IF(L29=0,"-",IF(L29&lt;&gt;0,SUMIF('Auditorías Riesgos 2019-2023'!G:G,B29,'Auditorías Riesgos 2019-2023'!T:T)))</f>
        <v>-</v>
      </c>
      <c r="Z29" s="148" t="str">
        <f t="shared" si="5"/>
        <v>-</v>
      </c>
    </row>
    <row r="30" spans="2:26" ht="21" hidden="1" customHeight="1">
      <c r="B30" s="172"/>
      <c r="C30" s="176"/>
      <c r="D30" s="108"/>
      <c r="E30" s="108"/>
      <c r="F30" s="109"/>
      <c r="G30" s="8">
        <f>COUNTIFS('Auditorías Riesgos 2019-2023'!B:B,$G$5,'Auditorías Riesgos 2019-2023'!G:G,B30)</f>
        <v>0</v>
      </c>
      <c r="H30" s="8">
        <f>COUNTIFS('Auditorías Riesgos 2019-2023'!B:B,$H$5,'Auditorías Riesgos 2019-2023'!G:G,B30)</f>
        <v>0</v>
      </c>
      <c r="I30" s="8">
        <f>COUNTIFS('Auditorías Riesgos 2019-2023'!B:B,$I$5,'Auditorías Riesgos 2019-2023'!G:G,B30)</f>
        <v>0</v>
      </c>
      <c r="J30" s="8">
        <f>COUNTIFS('Auditorías Riesgos 2019-2023'!B:B,$J$5,'Auditorías Riesgos 2019-2023'!G:G,B30)</f>
        <v>0</v>
      </c>
      <c r="K30" s="8">
        <f>COUNTIFS('Auditorías Riesgos 2019-2023'!B:B,$K$5,'Auditorías Riesgos 2019-2023'!G:G,B30)</f>
        <v>0</v>
      </c>
      <c r="L30" s="13">
        <f>SUM(G30:K30)</f>
        <v>0</v>
      </c>
      <c r="M30" s="8" t="str">
        <f>IF(L30=0,"-",IF(L30&lt;&gt;0,SUMIF('Auditorías Riesgos 2019-2023'!G:G,B30,'Auditorías Riesgos 2019-2023'!K:K)))</f>
        <v>-</v>
      </c>
      <c r="N30" s="140" t="str">
        <f>IF(L30=0,"-",IF(L30&lt;&gt;0,COUNTIFS('Auditorías Riesgos 2019-2023'!G:G,B30,'Auditorías Riesgos 2019-2023'!L:L,"SI")))</f>
        <v>-</v>
      </c>
      <c r="O30" s="148" t="str">
        <f t="shared" si="0"/>
        <v>-</v>
      </c>
      <c r="P30" s="8" t="str">
        <f>IF(L30=0,"-",IF(L30&lt;&gt;0,SUMIF('Auditorías Riesgos 2019-2023'!G:G,B30,'Auditorías Riesgos 2019-2023'!O:O)))</f>
        <v>-</v>
      </c>
      <c r="Q30" s="151" t="str">
        <f>IF(L30=0,"-",IF(L30&lt;&gt;0,SUMIF('Auditorías Riesgos 2019-2023'!G:G,B30,'Auditorías Riesgos 2019-2023'!P:P)))</f>
        <v>-</v>
      </c>
      <c r="R30" s="148" t="str">
        <f t="shared" si="1"/>
        <v>-</v>
      </c>
      <c r="S30" s="151" t="str">
        <f>IF(L30=0,"-",IF(L30&lt;&gt;0,SUMIF('Auditorías Riesgos 2019-2023'!G:G,B30,'Auditorías Riesgos 2019-2023'!Q:Q)))</f>
        <v>-</v>
      </c>
      <c r="T30" s="148" t="str">
        <f t="shared" si="2"/>
        <v>-</v>
      </c>
      <c r="U30" s="151" t="str">
        <f>IF(L30=0,"-",IF(L30&lt;&gt;0,SUMIF('Auditorías Riesgos 2019-2023'!G:G,B30,'Auditorías Riesgos 2019-2023'!R:R)))</f>
        <v>-</v>
      </c>
      <c r="V30" s="148" t="str">
        <f t="shared" si="3"/>
        <v>-</v>
      </c>
      <c r="W30" s="8" t="str">
        <f>IF(L30=0,"-",IF(L30&lt;&gt;0,SUMIF('Auditorías Riesgos 2019-2023'!G:G,B30,'Auditorías Riesgos 2019-2023'!S:S)))</f>
        <v>-</v>
      </c>
      <c r="X30" s="8" t="str">
        <f t="shared" si="4"/>
        <v>-</v>
      </c>
      <c r="Y30" s="151" t="str">
        <f>IF(L30=0,"-",IF(L30&lt;&gt;0,SUMIF('Auditorías Riesgos 2019-2023'!G:G,B30,'Auditorías Riesgos 2019-2023'!T:T)))</f>
        <v>-</v>
      </c>
      <c r="Z30" s="148" t="str">
        <f t="shared" si="5"/>
        <v>-</v>
      </c>
    </row>
    <row r="31" spans="2:26" ht="21" hidden="1" customHeight="1">
      <c r="B31" s="172"/>
      <c r="C31" s="176"/>
      <c r="D31" s="108"/>
      <c r="E31" s="108"/>
      <c r="F31" s="109"/>
      <c r="G31" s="8">
        <f>COUNTIFS('Auditorías Riesgos 2019-2023'!B:B,$G$5,'Auditorías Riesgos 2019-2023'!G:G,B31)</f>
        <v>0</v>
      </c>
      <c r="H31" s="8">
        <f>COUNTIFS('Auditorías Riesgos 2019-2023'!B:B,$H$5,'Auditorías Riesgos 2019-2023'!G:G,B31)</f>
        <v>0</v>
      </c>
      <c r="I31" s="8">
        <f>COUNTIFS('Auditorías Riesgos 2019-2023'!B:B,$I$5,'Auditorías Riesgos 2019-2023'!G:G,B31)</f>
        <v>0</v>
      </c>
      <c r="J31" s="8">
        <f>COUNTIFS('Auditorías Riesgos 2019-2023'!B:B,$J$5,'Auditorías Riesgos 2019-2023'!G:G,B31)</f>
        <v>0</v>
      </c>
      <c r="K31" s="8">
        <f>COUNTIFS('Auditorías Riesgos 2019-2023'!B:B,$K$5,'Auditorías Riesgos 2019-2023'!G:G,B31)</f>
        <v>0</v>
      </c>
      <c r="L31" s="13">
        <f>SUM(G31:K31)</f>
        <v>0</v>
      </c>
      <c r="M31" s="8" t="str">
        <f>IF(L31=0,"-",IF(L31&lt;&gt;0,SUMIF('Auditorías Riesgos 2019-2023'!G:G,B31,'Auditorías Riesgos 2019-2023'!K:K)))</f>
        <v>-</v>
      </c>
      <c r="N31" s="140" t="str">
        <f>IF(L31=0,"-",IF(L31&lt;&gt;0,COUNTIFS('Auditorías Riesgos 2019-2023'!G:G,B31,'Auditorías Riesgos 2019-2023'!L:L,"SI")))</f>
        <v>-</v>
      </c>
      <c r="O31" s="148" t="str">
        <f t="shared" si="0"/>
        <v>-</v>
      </c>
      <c r="P31" s="8" t="str">
        <f>IF(L31=0,"-",IF(L31&lt;&gt;0,SUMIF('Auditorías Riesgos 2019-2023'!G:G,B31,'Auditorías Riesgos 2019-2023'!O:O)))</f>
        <v>-</v>
      </c>
      <c r="Q31" s="151" t="str">
        <f>IF(L31=0,"-",IF(L31&lt;&gt;0,SUMIF('Auditorías Riesgos 2019-2023'!G:G,B31,'Auditorías Riesgos 2019-2023'!P:P)))</f>
        <v>-</v>
      </c>
      <c r="R31" s="148" t="str">
        <f t="shared" si="1"/>
        <v>-</v>
      </c>
      <c r="S31" s="151" t="str">
        <f>IF(L31=0,"-",IF(L31&lt;&gt;0,SUMIF('Auditorías Riesgos 2019-2023'!G:G,B31,'Auditorías Riesgos 2019-2023'!Q:Q)))</f>
        <v>-</v>
      </c>
      <c r="T31" s="148" t="str">
        <f t="shared" si="2"/>
        <v>-</v>
      </c>
      <c r="U31" s="151" t="str">
        <f>IF(L31=0,"-",IF(L31&lt;&gt;0,SUMIF('Auditorías Riesgos 2019-2023'!G:G,B31,'Auditorías Riesgos 2019-2023'!R:R)))</f>
        <v>-</v>
      </c>
      <c r="V31" s="148" t="str">
        <f t="shared" si="3"/>
        <v>-</v>
      </c>
      <c r="W31" s="8" t="str">
        <f>IF(L31=0,"-",IF(L31&lt;&gt;0,SUMIF('Auditorías Riesgos 2019-2023'!G:G,B31,'Auditorías Riesgos 2019-2023'!S:S)))</f>
        <v>-</v>
      </c>
      <c r="X31" s="8" t="str">
        <f t="shared" si="4"/>
        <v>-</v>
      </c>
      <c r="Y31" s="151" t="str">
        <f>IF(L31=0,"-",IF(L31&lt;&gt;0,SUMIF('Auditorías Riesgos 2019-2023'!G:G,B31,'Auditorías Riesgos 2019-2023'!T:T)))</f>
        <v>-</v>
      </c>
      <c r="Z31" s="148" t="str">
        <f t="shared" si="5"/>
        <v>-</v>
      </c>
    </row>
    <row r="32" spans="2:26" ht="24" customHeight="1">
      <c r="B32" s="80" t="s">
        <v>201</v>
      </c>
      <c r="C32" s="177"/>
      <c r="D32" s="110"/>
      <c r="E32" s="110"/>
      <c r="F32" s="111"/>
      <c r="G32" s="81">
        <f>SUM(G6:G31)</f>
        <v>13</v>
      </c>
      <c r="H32" s="81">
        <f t="shared" ref="H32:Y32" si="8">SUM(H6:H31)</f>
        <v>16</v>
      </c>
      <c r="I32" s="81">
        <f t="shared" si="8"/>
        <v>20</v>
      </c>
      <c r="J32" s="81">
        <f t="shared" si="8"/>
        <v>13</v>
      </c>
      <c r="K32" s="81">
        <f t="shared" si="8"/>
        <v>23</v>
      </c>
      <c r="L32" s="81">
        <f t="shared" si="8"/>
        <v>85</v>
      </c>
      <c r="M32" s="78">
        <f>SUM(M6:M31)</f>
        <v>405</v>
      </c>
      <c r="N32" s="149">
        <f>SUM(N6:N31)</f>
        <v>40</v>
      </c>
      <c r="O32" s="150">
        <f t="shared" si="0"/>
        <v>0.47058823529411764</v>
      </c>
      <c r="P32" s="78">
        <f>SUM(P6:P31)</f>
        <v>355</v>
      </c>
      <c r="Q32" s="149">
        <f t="shared" si="8"/>
        <v>72</v>
      </c>
      <c r="R32" s="150">
        <f t="shared" si="1"/>
        <v>0.29508196721311475</v>
      </c>
      <c r="S32" s="149">
        <f t="shared" si="8"/>
        <v>77</v>
      </c>
      <c r="T32" s="150">
        <f t="shared" si="2"/>
        <v>0.3155737704918033</v>
      </c>
      <c r="U32" s="149">
        <f t="shared" si="8"/>
        <v>95</v>
      </c>
      <c r="V32" s="150">
        <f t="shared" si="3"/>
        <v>0.38934426229508196</v>
      </c>
      <c r="W32" s="78">
        <f>SUM(W6:W31)</f>
        <v>111</v>
      </c>
      <c r="X32" s="78">
        <f t="shared" si="8"/>
        <v>244</v>
      </c>
      <c r="Y32" s="149">
        <f t="shared" si="8"/>
        <v>41</v>
      </c>
      <c r="Z32" s="150">
        <f t="shared" si="5"/>
        <v>0.10123456790123457</v>
      </c>
    </row>
  </sheetData>
  <mergeCells count="11">
    <mergeCell ref="Q4:R4"/>
    <mergeCell ref="B4:F5"/>
    <mergeCell ref="G4:L4"/>
    <mergeCell ref="N4:O4"/>
    <mergeCell ref="M4:M5"/>
    <mergeCell ref="P4:P5"/>
    <mergeCell ref="S4:T4"/>
    <mergeCell ref="U4:V4"/>
    <mergeCell ref="W4:W5"/>
    <mergeCell ref="X4:X5"/>
    <mergeCell ref="Y4:Z4"/>
  </mergeCells>
  <conditionalFormatting sqref="G6:K31">
    <cfRule type="cellIs" dxfId="1" priority="1" operator="equal">
      <formula>0</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'UNIDADES ADMINISTRATIVAS'!$A$1:$A$14</xm:f>
          </x14:formula1>
          <xm:sqref>B6:C28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sheetPr>
  <dimension ref="B2:X32"/>
  <sheetViews>
    <sheetView showGridLines="0" zoomScale="70" zoomScaleNormal="70" workbookViewId="0">
      <selection activeCell="AB30" sqref="AB30"/>
    </sheetView>
  </sheetViews>
  <sheetFormatPr baseColWidth="10" defaultColWidth="11.44140625" defaultRowHeight="13.8"/>
  <cols>
    <col min="1" max="1" width="1" style="96" customWidth="1"/>
    <col min="2" max="4" width="17.5546875" style="96" customWidth="1"/>
    <col min="5" max="9" width="13.6640625" style="96" hidden="1" customWidth="1"/>
    <col min="10" max="10" width="23" style="96" customWidth="1"/>
    <col min="11" max="11" width="16.33203125" style="96" hidden="1" customWidth="1"/>
    <col min="12" max="13" width="23" style="96" customWidth="1"/>
    <col min="14" max="23" width="16.33203125" style="96" hidden="1" customWidth="1"/>
    <col min="24" max="24" width="23" style="96" customWidth="1"/>
    <col min="25" max="16384" width="11.44140625" style="96"/>
  </cols>
  <sheetData>
    <row r="2" spans="2:24" ht="20.399999999999999">
      <c r="B2" s="95" t="s">
        <v>353</v>
      </c>
    </row>
    <row r="3" spans="2:24" ht="9" customHeight="1"/>
    <row r="4" spans="2:24" ht="67.5" customHeight="1">
      <c r="B4" s="218" t="s">
        <v>5</v>
      </c>
      <c r="C4" s="218"/>
      <c r="D4" s="218"/>
      <c r="E4" s="209" t="s">
        <v>350</v>
      </c>
      <c r="F4" s="209"/>
      <c r="G4" s="209"/>
      <c r="H4" s="209"/>
      <c r="I4" s="209"/>
      <c r="J4" s="209"/>
      <c r="K4" s="209" t="s">
        <v>355</v>
      </c>
      <c r="L4" s="209"/>
      <c r="M4" s="209" t="s">
        <v>189</v>
      </c>
      <c r="N4" s="209" t="s">
        <v>196</v>
      </c>
      <c r="O4" s="203" t="s">
        <v>363</v>
      </c>
      <c r="P4" s="203"/>
      <c r="Q4" s="216" t="s">
        <v>362</v>
      </c>
      <c r="R4" s="216"/>
      <c r="S4" s="215" t="s">
        <v>361</v>
      </c>
      <c r="T4" s="215"/>
      <c r="U4" s="217" t="s">
        <v>371</v>
      </c>
      <c r="V4" s="209" t="s">
        <v>370</v>
      </c>
      <c r="W4" s="209" t="s">
        <v>373</v>
      </c>
      <c r="X4" s="209"/>
    </row>
    <row r="5" spans="2:24" ht="25.5" hidden="1" customHeight="1">
      <c r="B5" s="218"/>
      <c r="C5" s="218"/>
      <c r="D5" s="218"/>
      <c r="E5" s="129">
        <v>2019</v>
      </c>
      <c r="F5" s="129">
        <v>2020</v>
      </c>
      <c r="G5" s="129">
        <v>2021</v>
      </c>
      <c r="H5" s="129">
        <v>2022</v>
      </c>
      <c r="I5" s="129">
        <v>2023</v>
      </c>
      <c r="J5" s="139" t="s">
        <v>201</v>
      </c>
      <c r="K5" s="129" t="s">
        <v>203</v>
      </c>
      <c r="L5" s="129" t="s">
        <v>364</v>
      </c>
      <c r="M5" s="209"/>
      <c r="N5" s="209"/>
      <c r="O5" s="129" t="s">
        <v>203</v>
      </c>
      <c r="P5" s="129" t="s">
        <v>364</v>
      </c>
      <c r="Q5" s="129" t="s">
        <v>203</v>
      </c>
      <c r="R5" s="129" t="s">
        <v>364</v>
      </c>
      <c r="S5" s="129" t="s">
        <v>203</v>
      </c>
      <c r="T5" s="129" t="s">
        <v>364</v>
      </c>
      <c r="U5" s="217"/>
      <c r="V5" s="209"/>
      <c r="W5" s="129" t="s">
        <v>203</v>
      </c>
      <c r="X5" s="129" t="s">
        <v>364</v>
      </c>
    </row>
    <row r="6" spans="2:24" ht="21" customHeight="1">
      <c r="B6" s="12" t="s">
        <v>142</v>
      </c>
      <c r="C6" s="98"/>
      <c r="D6" s="99"/>
      <c r="E6" s="8">
        <f>COUNTIFS('Auditorías Riesgos 2019-2023'!B:B,$E$5,'Auditorías Riesgos 2019-2023'!H:H,B6)</f>
        <v>0</v>
      </c>
      <c r="F6" s="8">
        <f>COUNTIFS('Auditorías Riesgos 2019-2023'!B:B,$F$5,'Auditorías Riesgos 2019-2023'!H:H,B6)</f>
        <v>0</v>
      </c>
      <c r="G6" s="8">
        <f>COUNTIFS('Auditorías Riesgos 2019-2023'!B:B,$G$5,'Auditorías Riesgos 2019-2023'!H:H,B6)</f>
        <v>0</v>
      </c>
      <c r="H6" s="8">
        <f>COUNTIFS('Auditorías Riesgos 2019-2023'!B:B,$H$5,'Auditorías Riesgos 2019-2023'!H:H,B6)</f>
        <v>0</v>
      </c>
      <c r="I6" s="8">
        <f>COUNTIFS('Auditorías Riesgos 2019-2023'!B:B,$I$5,'Auditorías Riesgos 2019-2023'!H:H,B6)</f>
        <v>1</v>
      </c>
      <c r="J6" s="14">
        <f>SUM(E6:I6)</f>
        <v>1</v>
      </c>
      <c r="K6" s="14">
        <f>IF(J6=0,"-",IF(J6&lt;&gt;0,COUNTIFS('Auditorías Riesgos 2019-2023'!H:H,B6,'Auditorías Riesgos 2019-2023'!L:L,"SI")))</f>
        <v>1</v>
      </c>
      <c r="L6" s="141">
        <f t="shared" ref="L6:L32" si="0">IFERROR(K6/J6,"-")</f>
        <v>1</v>
      </c>
      <c r="M6" s="14">
        <f>IF(J6=0,"-",IF(J6&lt;&gt;0,SUMIF('Auditorías Riesgos 2019-2023'!H:H,B6,'Auditorías Riesgos 2019-2023'!K:K)))</f>
        <v>3</v>
      </c>
      <c r="N6" s="14">
        <f>IF(J6=0,"-",IF(J6&lt;&gt;0,SUMIF('Auditorías Riesgos 2019-2023'!H:H,B6,'Auditorías Riesgos 2019-2023'!O:O)))</f>
        <v>6</v>
      </c>
      <c r="O6" s="14">
        <f>IF(J6=0,"-",IF(J6&lt;&gt;0,SUMIF('Auditorías Riesgos 2019-2023'!H:H,B6,'Auditorías Riesgos 2019-2023'!P:P)))</f>
        <v>0</v>
      </c>
      <c r="P6" s="141" t="str">
        <f t="shared" ref="P6:P32" si="1">IFERROR(O6/SUM(O6,Q6,S6),"-")</f>
        <v>-</v>
      </c>
      <c r="Q6" s="14">
        <f>IF(J6=0,"-",IF(J6&lt;&gt;0,SUMIF('Auditorías Riesgos 2019-2023'!H:H,B6,'Auditorías Riesgos 2019-2023'!Q:Q)))</f>
        <v>0</v>
      </c>
      <c r="R6" s="141" t="str">
        <f t="shared" ref="R6:R32" si="2">IFERROR(Q6/SUM(O6,Q6,S6),"-")</f>
        <v>-</v>
      </c>
      <c r="S6" s="14">
        <f>IF(J6=0,"-",IF(J6&lt;&gt;0,SUMIF('Auditorías Riesgos 2019-2023'!H:H,B6,'Auditorías Riesgos 2019-2023'!R:R)))</f>
        <v>0</v>
      </c>
      <c r="T6" s="141" t="str">
        <f t="shared" ref="T6:T32" si="3">IFERROR(S6/SUM(O6,Q6,S6),"-")</f>
        <v>-</v>
      </c>
      <c r="U6" s="14">
        <f>IF(J6=0,"-",IF(J6&lt;&gt;0,SUMIF('Auditorías Riesgos 2019-2023'!H:H,B6,'Auditorías Riesgos 2019-2023'!S:S)))</f>
        <v>6</v>
      </c>
      <c r="V6" s="14">
        <f>IF(J6=0,"-",IFERROR(SUM(O6,Q6,S6),"-"))</f>
        <v>0</v>
      </c>
      <c r="W6" s="14">
        <f>IF(J6=0,"-",IF(J6&lt;&gt;0,SUMIF('Auditorías Riesgos 2019-2023'!H:H,B6,'Auditorías Riesgos 2019-2023'!T:T)))</f>
        <v>0</v>
      </c>
      <c r="X6" s="141">
        <f t="shared" ref="X6:X32" si="4">IFERROR(W6/M6,"-")</f>
        <v>0</v>
      </c>
    </row>
    <row r="7" spans="2:24" ht="21" customHeight="1">
      <c r="B7" s="12" t="s">
        <v>92</v>
      </c>
      <c r="C7" s="98"/>
      <c r="D7" s="99"/>
      <c r="E7" s="8">
        <f>COUNTIFS('Auditorías Riesgos 2019-2023'!B:B,$E$5,'Auditorías Riesgos 2019-2023'!H:H,B7)</f>
        <v>0</v>
      </c>
      <c r="F7" s="8">
        <f>COUNTIFS('Auditorías Riesgos 2019-2023'!B:B,$F$5,'Auditorías Riesgos 2019-2023'!H:H,B7)</f>
        <v>0</v>
      </c>
      <c r="G7" s="8">
        <f>COUNTIFS('Auditorías Riesgos 2019-2023'!B:B,$G$5,'Auditorías Riesgos 2019-2023'!H:H,B7)</f>
        <v>1</v>
      </c>
      <c r="H7" s="8">
        <f>COUNTIFS('Auditorías Riesgos 2019-2023'!B:B,$H$5,'Auditorías Riesgos 2019-2023'!H:H,B7)</f>
        <v>1</v>
      </c>
      <c r="I7" s="8">
        <f>COUNTIFS('Auditorías Riesgos 2019-2023'!B:B,$I$5,'Auditorías Riesgos 2019-2023'!H:H,B7)</f>
        <v>0</v>
      </c>
      <c r="J7" s="14">
        <f t="shared" ref="J7:J12" si="5">SUM(E7:I7)</f>
        <v>2</v>
      </c>
      <c r="K7" s="14">
        <f>IF(J7=0,"-",IF(J7&lt;&gt;0,COUNTIFS('Auditorías Riesgos 2019-2023'!H:H,B7,'Auditorías Riesgos 2019-2023'!L:L,"SI")))</f>
        <v>2</v>
      </c>
      <c r="L7" s="141">
        <f t="shared" si="0"/>
        <v>1</v>
      </c>
      <c r="M7" s="14">
        <f>IF(J7=0,"-",IF(J7&lt;&gt;0,SUMIF('Auditorías Riesgos 2019-2023'!H:H,B7,'Auditorías Riesgos 2019-2023'!K:K)))</f>
        <v>16</v>
      </c>
      <c r="N7" s="14">
        <f>IF(J7=0,"-",IF(J7&lt;&gt;0,SUMIF('Auditorías Riesgos 2019-2023'!H:H,B7,'Auditorías Riesgos 2019-2023'!O:O)))</f>
        <v>22</v>
      </c>
      <c r="O7" s="14">
        <f>IF(J7=0,"-",IF(J7&lt;&gt;0,SUMIF('Auditorías Riesgos 2019-2023'!H:H,B7,'Auditorías Riesgos 2019-2023'!P:P)))</f>
        <v>12</v>
      </c>
      <c r="P7" s="141">
        <f t="shared" si="1"/>
        <v>0.8571428571428571</v>
      </c>
      <c r="Q7" s="14">
        <f>IF(J7=0,"-",IF(J7&lt;&gt;0,SUMIF('Auditorías Riesgos 2019-2023'!H:H,B7,'Auditorías Riesgos 2019-2023'!Q:Q)))</f>
        <v>2</v>
      </c>
      <c r="R7" s="141">
        <f t="shared" si="2"/>
        <v>0.14285714285714285</v>
      </c>
      <c r="S7" s="14">
        <f>IF(J7=0,"-",IF(J7&lt;&gt;0,SUMIF('Auditorías Riesgos 2019-2023'!H:H,B7,'Auditorías Riesgos 2019-2023'!R:R)))</f>
        <v>0</v>
      </c>
      <c r="T7" s="141">
        <f t="shared" si="3"/>
        <v>0</v>
      </c>
      <c r="U7" s="14">
        <f>IF(J7=0,"-",IF(J7&lt;&gt;0,SUMIF('Auditorías Riesgos 2019-2023'!H:H,B7,'Auditorías Riesgos 2019-2023'!S:S)))</f>
        <v>8</v>
      </c>
      <c r="V7" s="14">
        <f t="shared" ref="V7:V31" si="6">IF(J7=0,"-",IFERROR(SUM(O7,Q7,S7),"-"))</f>
        <v>14</v>
      </c>
      <c r="W7" s="14">
        <f>IF(J7=0,"-",IF(J7&lt;&gt;0,SUMIF('Auditorías Riesgos 2019-2023'!H:H,B7,'Auditorías Riesgos 2019-2023'!T:T)))</f>
        <v>7</v>
      </c>
      <c r="X7" s="141">
        <f t="shared" si="4"/>
        <v>0.4375</v>
      </c>
    </row>
    <row r="8" spans="2:24" ht="21" customHeight="1">
      <c r="B8" s="12" t="s">
        <v>204</v>
      </c>
      <c r="C8" s="98"/>
      <c r="D8" s="99"/>
      <c r="E8" s="8">
        <f>COUNTIFS('Auditorías Riesgos 2019-2023'!B:B,$E$5,'Auditorías Riesgos 2019-2023'!H:H,B8)</f>
        <v>0</v>
      </c>
      <c r="F8" s="8">
        <f>COUNTIFS('Auditorías Riesgos 2019-2023'!B:B,$F$5,'Auditorías Riesgos 2019-2023'!H:H,B8)</f>
        <v>0</v>
      </c>
      <c r="G8" s="8">
        <f>COUNTIFS('Auditorías Riesgos 2019-2023'!B:B,$G$5,'Auditorías Riesgos 2019-2023'!H:H,B8)</f>
        <v>0</v>
      </c>
      <c r="H8" s="8">
        <f>COUNTIFS('Auditorías Riesgos 2019-2023'!B:B,$H$5,'Auditorías Riesgos 2019-2023'!H:H,B8)</f>
        <v>0</v>
      </c>
      <c r="I8" s="8">
        <f>COUNTIFS('Auditorías Riesgos 2019-2023'!B:B,$I$5,'Auditorías Riesgos 2019-2023'!H:H,B8)</f>
        <v>0</v>
      </c>
      <c r="J8" s="14">
        <f t="shared" si="5"/>
        <v>0</v>
      </c>
      <c r="K8" s="14" t="str">
        <f>IF(J8=0,"-",IF(J8&lt;&gt;0,COUNTIFS('Auditorías Riesgos 2019-2023'!H:H,B8,'Auditorías Riesgos 2019-2023'!L:L,"SI")))</f>
        <v>-</v>
      </c>
      <c r="L8" s="141" t="str">
        <f t="shared" si="0"/>
        <v>-</v>
      </c>
      <c r="M8" s="14" t="str">
        <f>IF(J8=0,"-",IF(J8&lt;&gt;0,SUMIF('Auditorías Riesgos 2019-2023'!H:H,B8,'Auditorías Riesgos 2019-2023'!K:K)))</f>
        <v>-</v>
      </c>
      <c r="N8" s="14" t="str">
        <f>IF(J8=0,"-",IF(J8&lt;&gt;0,SUMIF('Auditorías Riesgos 2019-2023'!H:H,B8,'Auditorías Riesgos 2019-2023'!O:O)))</f>
        <v>-</v>
      </c>
      <c r="O8" s="14" t="str">
        <f>IF(J8=0,"-",IF(J8&lt;&gt;0,SUMIF('Auditorías Riesgos 2019-2023'!H:H,B8,'Auditorías Riesgos 2019-2023'!P:P)))</f>
        <v>-</v>
      </c>
      <c r="P8" s="141" t="str">
        <f t="shared" si="1"/>
        <v>-</v>
      </c>
      <c r="Q8" s="14" t="str">
        <f>IF(J8=0,"-",IF(J8&lt;&gt;0,SUMIF('Auditorías Riesgos 2019-2023'!H:H,B8,'Auditorías Riesgos 2019-2023'!Q:Q)))</f>
        <v>-</v>
      </c>
      <c r="R8" s="141" t="str">
        <f t="shared" si="2"/>
        <v>-</v>
      </c>
      <c r="S8" s="14" t="str">
        <f>IF(J8=0,"-",IF(J8&lt;&gt;0,SUMIF('Auditorías Riesgos 2019-2023'!H:H,B8,'Auditorías Riesgos 2019-2023'!R:R)))</f>
        <v>-</v>
      </c>
      <c r="T8" s="141" t="str">
        <f t="shared" si="3"/>
        <v>-</v>
      </c>
      <c r="U8" s="14" t="str">
        <f>IF(J8=0,"-",IF(J8&lt;&gt;0,SUMIF('Auditorías Riesgos 2019-2023'!H:H,B8,'Auditorías Riesgos 2019-2023'!S:S)))</f>
        <v>-</v>
      </c>
      <c r="V8" s="14" t="str">
        <f t="shared" si="6"/>
        <v>-</v>
      </c>
      <c r="W8" s="14" t="str">
        <f>IF(J8=0,"-",IF(J8&lt;&gt;0,SUMIF('Auditorías Riesgos 2019-2023'!H:H,B8,'Auditorías Riesgos 2019-2023'!T:T)))</f>
        <v>-</v>
      </c>
      <c r="X8" s="141" t="str">
        <f t="shared" si="4"/>
        <v>-</v>
      </c>
    </row>
    <row r="9" spans="2:24" ht="21" customHeight="1">
      <c r="B9" s="15" t="s">
        <v>46</v>
      </c>
      <c r="C9" s="100"/>
      <c r="D9" s="101"/>
      <c r="E9" s="8">
        <f>COUNTIFS('Auditorías Riesgos 2019-2023'!B:B,$E$5,'Auditorías Riesgos 2019-2023'!H:H,B9)</f>
        <v>1</v>
      </c>
      <c r="F9" s="8">
        <f>COUNTIFS('Auditorías Riesgos 2019-2023'!B:B,$F$5,'Auditorías Riesgos 2019-2023'!H:H,B9)</f>
        <v>2</v>
      </c>
      <c r="G9" s="8">
        <f>COUNTIFS('Auditorías Riesgos 2019-2023'!B:B,$G$5,'Auditorías Riesgos 2019-2023'!H:H,B9)</f>
        <v>1</v>
      </c>
      <c r="H9" s="8">
        <f>COUNTIFS('Auditorías Riesgos 2019-2023'!B:B,$H$5,'Auditorías Riesgos 2019-2023'!H:H,B9)</f>
        <v>1</v>
      </c>
      <c r="I9" s="8">
        <f>COUNTIFS('Auditorías Riesgos 2019-2023'!B:B,$I$5,'Auditorías Riesgos 2019-2023'!H:H,B9)</f>
        <v>1</v>
      </c>
      <c r="J9" s="14">
        <f t="shared" si="5"/>
        <v>6</v>
      </c>
      <c r="K9" s="14">
        <f>IF(J9=0,"-",IF(J9&lt;&gt;0,COUNTIFS('Auditorías Riesgos 2019-2023'!H:H,B9,'Auditorías Riesgos 2019-2023'!L:L,"SI")))</f>
        <v>2</v>
      </c>
      <c r="L9" s="141">
        <f t="shared" si="0"/>
        <v>0.33333333333333331</v>
      </c>
      <c r="M9" s="14">
        <f>IF(J9=0,"-",IF(J9&lt;&gt;0,SUMIF('Auditorías Riesgos 2019-2023'!H:H,B9,'Auditorías Riesgos 2019-2023'!K:K)))</f>
        <v>22</v>
      </c>
      <c r="N9" s="14">
        <f>IF(J9=0,"-",IF(J9&lt;&gt;0,SUMIF('Auditorías Riesgos 2019-2023'!H:H,B9,'Auditorías Riesgos 2019-2023'!O:O)))</f>
        <v>16</v>
      </c>
      <c r="O9" s="14">
        <f>IF(J9=0,"-",IF(J9&lt;&gt;0,SUMIF('Auditorías Riesgos 2019-2023'!H:H,B9,'Auditorías Riesgos 2019-2023'!P:P)))</f>
        <v>10</v>
      </c>
      <c r="P9" s="141">
        <f t="shared" si="1"/>
        <v>0.90909090909090906</v>
      </c>
      <c r="Q9" s="14">
        <f>IF(J9=0,"-",IF(J9&lt;&gt;0,SUMIF('Auditorías Riesgos 2019-2023'!H:H,B9,'Auditorías Riesgos 2019-2023'!Q:Q)))</f>
        <v>0</v>
      </c>
      <c r="R9" s="141">
        <f t="shared" si="2"/>
        <v>0</v>
      </c>
      <c r="S9" s="14">
        <f>IF(J9=0,"-",IF(J9&lt;&gt;0,SUMIF('Auditorías Riesgos 2019-2023'!H:H,B9,'Auditorías Riesgos 2019-2023'!R:R)))</f>
        <v>1</v>
      </c>
      <c r="T9" s="141">
        <f t="shared" si="3"/>
        <v>9.0909090909090912E-2</v>
      </c>
      <c r="U9" s="14">
        <f>IF(J9=0,"-",IF(J9&lt;&gt;0,SUMIF('Auditorías Riesgos 2019-2023'!H:H,B9,'Auditorías Riesgos 2019-2023'!S:S)))</f>
        <v>5</v>
      </c>
      <c r="V9" s="14">
        <f t="shared" si="6"/>
        <v>11</v>
      </c>
      <c r="W9" s="14">
        <f>IF(J9=0,"-",IF(J9&lt;&gt;0,SUMIF('Auditorías Riesgos 2019-2023'!H:H,B9,'Auditorías Riesgos 2019-2023'!T:T)))</f>
        <v>2</v>
      </c>
      <c r="X9" s="141">
        <f t="shared" si="4"/>
        <v>9.0909090909090912E-2</v>
      </c>
    </row>
    <row r="10" spans="2:24" ht="21" customHeight="1">
      <c r="B10" s="16" t="s">
        <v>31</v>
      </c>
      <c r="C10" s="102"/>
      <c r="D10" s="103"/>
      <c r="E10" s="8">
        <f>COUNTIFS('Auditorías Riesgos 2019-2023'!B:B,$E$5,'Auditorías Riesgos 2019-2023'!H:H,B10)</f>
        <v>1</v>
      </c>
      <c r="F10" s="8">
        <f>COUNTIFS('Auditorías Riesgos 2019-2023'!B:B,$F$5,'Auditorías Riesgos 2019-2023'!H:H,B10)</f>
        <v>1</v>
      </c>
      <c r="G10" s="8">
        <f>COUNTIFS('Auditorías Riesgos 2019-2023'!B:B,$G$5,'Auditorías Riesgos 2019-2023'!H:H,B10)</f>
        <v>1</v>
      </c>
      <c r="H10" s="8">
        <f>COUNTIFS('Auditorías Riesgos 2019-2023'!B:B,$H$5,'Auditorías Riesgos 2019-2023'!H:H,B10)</f>
        <v>0</v>
      </c>
      <c r="I10" s="8">
        <f>COUNTIFS('Auditorías Riesgos 2019-2023'!B:B,$I$5,'Auditorías Riesgos 2019-2023'!H:H,B10)</f>
        <v>0</v>
      </c>
      <c r="J10" s="14">
        <f t="shared" si="5"/>
        <v>3</v>
      </c>
      <c r="K10" s="14">
        <f>IF(J10=0,"-",IF(J10&lt;&gt;0,COUNTIFS('Auditorías Riesgos 2019-2023'!H:H,B10,'Auditorías Riesgos 2019-2023'!L:L,"SI")))</f>
        <v>2</v>
      </c>
      <c r="L10" s="141">
        <f t="shared" si="0"/>
        <v>0.66666666666666663</v>
      </c>
      <c r="M10" s="14">
        <f>IF(J10=0,"-",IF(J10&lt;&gt;0,SUMIF('Auditorías Riesgos 2019-2023'!H:H,B10,'Auditorías Riesgos 2019-2023'!K:K)))</f>
        <v>15</v>
      </c>
      <c r="N10" s="14">
        <f>IF(J10=0,"-",IF(J10&lt;&gt;0,SUMIF('Auditorías Riesgos 2019-2023'!H:H,B10,'Auditorías Riesgos 2019-2023'!O:O)))</f>
        <v>17</v>
      </c>
      <c r="O10" s="14">
        <f>IF(J10=0,"-",IF(J10&lt;&gt;0,SUMIF('Auditorías Riesgos 2019-2023'!H:H,B10,'Auditorías Riesgos 2019-2023'!P:P)))</f>
        <v>6</v>
      </c>
      <c r="P10" s="141">
        <f t="shared" si="1"/>
        <v>0.35294117647058826</v>
      </c>
      <c r="Q10" s="14">
        <f>IF(J10=0,"-",IF(J10&lt;&gt;0,SUMIF('Auditorías Riesgos 2019-2023'!H:H,B10,'Auditorías Riesgos 2019-2023'!Q:Q)))</f>
        <v>3</v>
      </c>
      <c r="R10" s="141">
        <f t="shared" si="2"/>
        <v>0.17647058823529413</v>
      </c>
      <c r="S10" s="14">
        <f>IF(J10=0,"-",IF(J10&lt;&gt;0,SUMIF('Auditorías Riesgos 2019-2023'!H:H,B10,'Auditorías Riesgos 2019-2023'!R:R)))</f>
        <v>8</v>
      </c>
      <c r="T10" s="141">
        <f t="shared" si="3"/>
        <v>0.47058823529411764</v>
      </c>
      <c r="U10" s="14">
        <f>IF(J10=0,"-",IF(J10&lt;&gt;0,SUMIF('Auditorías Riesgos 2019-2023'!H:H,B10,'Auditorías Riesgos 2019-2023'!S:S)))</f>
        <v>0</v>
      </c>
      <c r="V10" s="14">
        <f t="shared" si="6"/>
        <v>17</v>
      </c>
      <c r="W10" s="14">
        <f>IF(J10=0,"-",IF(J10&lt;&gt;0,SUMIF('Auditorías Riesgos 2019-2023'!H:H,B10,'Auditorías Riesgos 2019-2023'!T:T)))</f>
        <v>3</v>
      </c>
      <c r="X10" s="141">
        <f t="shared" si="4"/>
        <v>0.2</v>
      </c>
    </row>
    <row r="11" spans="2:24" ht="21" customHeight="1">
      <c r="B11" s="16" t="s">
        <v>28</v>
      </c>
      <c r="C11" s="102"/>
      <c r="D11" s="103"/>
      <c r="E11" s="8">
        <f>COUNTIFS('Auditorías Riesgos 2019-2023'!B:B,$E$5,'Auditorías Riesgos 2019-2023'!H:H,B11)</f>
        <v>1</v>
      </c>
      <c r="F11" s="8">
        <f>COUNTIFS('Auditorías Riesgos 2019-2023'!B:B,$F$5,'Auditorías Riesgos 2019-2023'!H:H,B11)</f>
        <v>0</v>
      </c>
      <c r="G11" s="8">
        <f>COUNTIFS('Auditorías Riesgos 2019-2023'!B:B,$G$5,'Auditorías Riesgos 2019-2023'!H:H,B11)</f>
        <v>0</v>
      </c>
      <c r="H11" s="8">
        <f>COUNTIFS('Auditorías Riesgos 2019-2023'!B:B,$H$5,'Auditorías Riesgos 2019-2023'!H:H,B11)</f>
        <v>0</v>
      </c>
      <c r="I11" s="8">
        <f>COUNTIFS('Auditorías Riesgos 2019-2023'!B:B,$I$5,'Auditorías Riesgos 2019-2023'!H:H,B11)</f>
        <v>0</v>
      </c>
      <c r="J11" s="14">
        <f t="shared" si="5"/>
        <v>1</v>
      </c>
      <c r="K11" s="14">
        <f>IF(J11=0,"-",IF(J11&lt;&gt;0,COUNTIFS('Auditorías Riesgos 2019-2023'!H:H,B11,'Auditorías Riesgos 2019-2023'!L:L,"SI")))</f>
        <v>1</v>
      </c>
      <c r="L11" s="141">
        <f t="shared" si="0"/>
        <v>1</v>
      </c>
      <c r="M11" s="14">
        <f>IF(J11=0,"-",IF(J11&lt;&gt;0,SUMIF('Auditorías Riesgos 2019-2023'!H:H,B11,'Auditorías Riesgos 2019-2023'!K:K)))</f>
        <v>6</v>
      </c>
      <c r="N11" s="14">
        <f>IF(J11=0,"-",IF(J11&lt;&gt;0,SUMIF('Auditorías Riesgos 2019-2023'!H:H,B11,'Auditorías Riesgos 2019-2023'!O:O)))</f>
        <v>6</v>
      </c>
      <c r="O11" s="14">
        <f>IF(J11=0,"-",IF(J11&lt;&gt;0,SUMIF('Auditorías Riesgos 2019-2023'!H:H,B11,'Auditorías Riesgos 2019-2023'!P:P)))</f>
        <v>4</v>
      </c>
      <c r="P11" s="141">
        <f t="shared" si="1"/>
        <v>0.66666666666666663</v>
      </c>
      <c r="Q11" s="14">
        <f>IF(J11=0,"-",IF(J11&lt;&gt;0,SUMIF('Auditorías Riesgos 2019-2023'!H:H,B11,'Auditorías Riesgos 2019-2023'!Q:Q)))</f>
        <v>1</v>
      </c>
      <c r="R11" s="141">
        <f t="shared" si="2"/>
        <v>0.16666666666666666</v>
      </c>
      <c r="S11" s="14">
        <f>IF(J11=0,"-",IF(J11&lt;&gt;0,SUMIF('Auditorías Riesgos 2019-2023'!H:H,B11,'Auditorías Riesgos 2019-2023'!R:R)))</f>
        <v>1</v>
      </c>
      <c r="T11" s="141">
        <f t="shared" si="3"/>
        <v>0.16666666666666666</v>
      </c>
      <c r="U11" s="14">
        <f>IF(J11=0,"-",IF(J11&lt;&gt;0,SUMIF('Auditorías Riesgos 2019-2023'!H:H,B11,'Auditorías Riesgos 2019-2023'!S:S)))</f>
        <v>0</v>
      </c>
      <c r="V11" s="14">
        <f t="shared" si="6"/>
        <v>6</v>
      </c>
      <c r="W11" s="14">
        <f>IF(J11=0,"-",IF(J11&lt;&gt;0,SUMIF('Auditorías Riesgos 2019-2023'!H:H,B11,'Auditorías Riesgos 2019-2023'!T:T)))</f>
        <v>4</v>
      </c>
      <c r="X11" s="141">
        <f t="shared" si="4"/>
        <v>0.66666666666666663</v>
      </c>
    </row>
    <row r="12" spans="2:24" ht="21" customHeight="1">
      <c r="B12" s="16" t="s">
        <v>16</v>
      </c>
      <c r="C12" s="102"/>
      <c r="D12" s="103"/>
      <c r="E12" s="8">
        <f>COUNTIFS('Auditorías Riesgos 2019-2023'!B:B,$E$5,'Auditorías Riesgos 2019-2023'!H:H,B12)</f>
        <v>1</v>
      </c>
      <c r="F12" s="8">
        <f>COUNTIFS('Auditorías Riesgos 2019-2023'!B:B,$F$5,'Auditorías Riesgos 2019-2023'!H:H,B12)</f>
        <v>1</v>
      </c>
      <c r="G12" s="8">
        <f>COUNTIFS('Auditorías Riesgos 2019-2023'!B:B,$G$5,'Auditorías Riesgos 2019-2023'!H:H,B12)</f>
        <v>0</v>
      </c>
      <c r="H12" s="8">
        <f>COUNTIFS('Auditorías Riesgos 2019-2023'!B:B,$H$5,'Auditorías Riesgos 2019-2023'!H:H,B12)</f>
        <v>0</v>
      </c>
      <c r="I12" s="8">
        <f>COUNTIFS('Auditorías Riesgos 2019-2023'!B:B,$I$5,'Auditorías Riesgos 2019-2023'!H:H,B12)</f>
        <v>0</v>
      </c>
      <c r="J12" s="14">
        <f t="shared" si="5"/>
        <v>2</v>
      </c>
      <c r="K12" s="14">
        <f>IF(J12=0,"-",IF(J12&lt;&gt;0,COUNTIFS('Auditorías Riesgos 2019-2023'!H:H,B12,'Auditorías Riesgos 2019-2023'!L:L,"SI")))</f>
        <v>2</v>
      </c>
      <c r="L12" s="141">
        <f t="shared" si="0"/>
        <v>1</v>
      </c>
      <c r="M12" s="14">
        <f>IF(J12=0,"-",IF(J12&lt;&gt;0,SUMIF('Auditorías Riesgos 2019-2023'!H:H,B12,'Auditorías Riesgos 2019-2023'!K:K)))</f>
        <v>13</v>
      </c>
      <c r="N12" s="14">
        <f>IF(J12=0,"-",IF(J12&lt;&gt;0,SUMIF('Auditorías Riesgos 2019-2023'!H:H,B12,'Auditorías Riesgos 2019-2023'!O:O)))</f>
        <v>13</v>
      </c>
      <c r="O12" s="14">
        <f>IF(J12=0,"-",IF(J12&lt;&gt;0,SUMIF('Auditorías Riesgos 2019-2023'!H:H,B12,'Auditorías Riesgos 2019-2023'!P:P)))</f>
        <v>5</v>
      </c>
      <c r="P12" s="141">
        <f t="shared" si="1"/>
        <v>0.38461538461538464</v>
      </c>
      <c r="Q12" s="14">
        <f>IF(J12=0,"-",IF(J12&lt;&gt;0,SUMIF('Auditorías Riesgos 2019-2023'!H:H,B12,'Auditorías Riesgos 2019-2023'!Q:Q)))</f>
        <v>5</v>
      </c>
      <c r="R12" s="141">
        <f t="shared" si="2"/>
        <v>0.38461538461538464</v>
      </c>
      <c r="S12" s="14">
        <f>IF(J12=0,"-",IF(J12&lt;&gt;0,SUMIF('Auditorías Riesgos 2019-2023'!H:H,B12,'Auditorías Riesgos 2019-2023'!R:R)))</f>
        <v>3</v>
      </c>
      <c r="T12" s="141">
        <f t="shared" si="3"/>
        <v>0.23076923076923078</v>
      </c>
      <c r="U12" s="14">
        <f>IF(J12=0,"-",IF(J12&lt;&gt;0,SUMIF('Auditorías Riesgos 2019-2023'!H:H,B12,'Auditorías Riesgos 2019-2023'!S:S)))</f>
        <v>0</v>
      </c>
      <c r="V12" s="14">
        <f t="shared" si="6"/>
        <v>13</v>
      </c>
      <c r="W12" s="14">
        <f>IF(J12=0,"-",IF(J12&lt;&gt;0,SUMIF('Auditorías Riesgos 2019-2023'!H:H,B12,'Auditorías Riesgos 2019-2023'!T:T)))</f>
        <v>4</v>
      </c>
      <c r="X12" s="141">
        <f t="shared" si="4"/>
        <v>0.30769230769230771</v>
      </c>
    </row>
    <row r="13" spans="2:24" ht="21" customHeight="1">
      <c r="B13" s="16" t="s">
        <v>19</v>
      </c>
      <c r="C13" s="102"/>
      <c r="D13" s="103"/>
      <c r="E13" s="8">
        <f>COUNTIFS('Auditorías Riesgos 2019-2023'!B:B,$E$5,'Auditorías Riesgos 2019-2023'!H:H,B13)</f>
        <v>1</v>
      </c>
      <c r="F13" s="8">
        <f>COUNTIFS('Auditorías Riesgos 2019-2023'!B:B,$F$5,'Auditorías Riesgos 2019-2023'!H:H,B13)</f>
        <v>2</v>
      </c>
      <c r="G13" s="8">
        <f>COUNTIFS('Auditorías Riesgos 2019-2023'!B:B,$G$5,'Auditorías Riesgos 2019-2023'!H:H,B13)</f>
        <v>2</v>
      </c>
      <c r="H13" s="8">
        <f>COUNTIFS('Auditorías Riesgos 2019-2023'!B:B,$H$5,'Auditorías Riesgos 2019-2023'!H:H,B13)</f>
        <v>0</v>
      </c>
      <c r="I13" s="8">
        <f>COUNTIFS('Auditorías Riesgos 2019-2023'!B:B,$I$5,'Auditorías Riesgos 2019-2023'!H:H,B13)</f>
        <v>0</v>
      </c>
      <c r="J13" s="14">
        <f>SUM(E13:I13)</f>
        <v>5</v>
      </c>
      <c r="K13" s="14">
        <f>IF(J13=0,"-",IF(J13&lt;&gt;0,COUNTIFS('Auditorías Riesgos 2019-2023'!H:H,B13,'Auditorías Riesgos 2019-2023'!L:L,"SI")))</f>
        <v>2</v>
      </c>
      <c r="L13" s="141">
        <f t="shared" si="0"/>
        <v>0.4</v>
      </c>
      <c r="M13" s="14">
        <f>IF(J13=0,"-",IF(J13&lt;&gt;0,SUMIF('Auditorías Riesgos 2019-2023'!H:H,B13,'Auditorías Riesgos 2019-2023'!K:K)))</f>
        <v>17</v>
      </c>
      <c r="N13" s="14">
        <f>IF(J13=0,"-",IF(J13&lt;&gt;0,SUMIF('Auditorías Riesgos 2019-2023'!H:H,B13,'Auditorías Riesgos 2019-2023'!O:O)))</f>
        <v>19</v>
      </c>
      <c r="O13" s="14">
        <f>IF(J13=0,"-",IF(J13&lt;&gt;0,SUMIF('Auditorías Riesgos 2019-2023'!H:H,B13,'Auditorías Riesgos 2019-2023'!P:P)))</f>
        <v>0</v>
      </c>
      <c r="P13" s="141">
        <f t="shared" si="1"/>
        <v>0</v>
      </c>
      <c r="Q13" s="14">
        <f>IF(J13=0,"-",IF(J13&lt;&gt;0,SUMIF('Auditorías Riesgos 2019-2023'!H:H,B13,'Auditorías Riesgos 2019-2023'!Q:Q)))</f>
        <v>4</v>
      </c>
      <c r="R13" s="141">
        <f t="shared" si="2"/>
        <v>0.8</v>
      </c>
      <c r="S13" s="14">
        <f>IF(J13=0,"-",IF(J13&lt;&gt;0,SUMIF('Auditorías Riesgos 2019-2023'!H:H,B13,'Auditorías Riesgos 2019-2023'!R:R)))</f>
        <v>1</v>
      </c>
      <c r="T13" s="141">
        <f t="shared" si="3"/>
        <v>0.2</v>
      </c>
      <c r="U13" s="14">
        <f>IF(J13=0,"-",IF(J13&lt;&gt;0,SUMIF('Auditorías Riesgos 2019-2023'!H:H,B13,'Auditorías Riesgos 2019-2023'!S:S)))</f>
        <v>14</v>
      </c>
      <c r="V13" s="14">
        <f t="shared" si="6"/>
        <v>5</v>
      </c>
      <c r="W13" s="14">
        <f>IF(J13=0,"-",IF(J13&lt;&gt;0,SUMIF('Auditorías Riesgos 2019-2023'!H:H,B13,'Auditorías Riesgos 2019-2023'!T:T)))</f>
        <v>0</v>
      </c>
      <c r="X13" s="141">
        <f t="shared" si="4"/>
        <v>0</v>
      </c>
    </row>
    <row r="14" spans="2:24" ht="21" customHeight="1">
      <c r="B14" s="16" t="s">
        <v>12</v>
      </c>
      <c r="C14" s="102"/>
      <c r="D14" s="103"/>
      <c r="E14" s="8">
        <f>COUNTIFS('Auditorías Riesgos 2019-2023'!B:B,$E$5,'Auditorías Riesgos 2019-2023'!H:H,B14)</f>
        <v>1</v>
      </c>
      <c r="F14" s="8">
        <f>COUNTIFS('Auditorías Riesgos 2019-2023'!B:B,$F$5,'Auditorías Riesgos 2019-2023'!H:H,B14)</f>
        <v>1</v>
      </c>
      <c r="G14" s="8">
        <f>COUNTIFS('Auditorías Riesgos 2019-2023'!B:B,$G$5,'Auditorías Riesgos 2019-2023'!H:H,B14)</f>
        <v>0</v>
      </c>
      <c r="H14" s="8">
        <f>COUNTIFS('Auditorías Riesgos 2019-2023'!B:B,$H$5,'Auditorías Riesgos 2019-2023'!H:H,B14)</f>
        <v>0</v>
      </c>
      <c r="I14" s="8">
        <f>COUNTIFS('Auditorías Riesgos 2019-2023'!B:B,$I$5,'Auditorías Riesgos 2019-2023'!H:H,B14)</f>
        <v>0</v>
      </c>
      <c r="J14" s="14">
        <f>SUM(E14:I14)</f>
        <v>2</v>
      </c>
      <c r="K14" s="14">
        <f>IF(J14=0,"-",IF(J14&lt;&gt;0,COUNTIFS('Auditorías Riesgos 2019-2023'!H:H,B14,'Auditorías Riesgos 2019-2023'!L:L,"SI")))</f>
        <v>2</v>
      </c>
      <c r="L14" s="141">
        <f t="shared" si="0"/>
        <v>1</v>
      </c>
      <c r="M14" s="14">
        <f>IF(J14=0,"-",IF(J14&lt;&gt;0,SUMIF('Auditorías Riesgos 2019-2023'!H:H,B14,'Auditorías Riesgos 2019-2023'!K:K)))</f>
        <v>8</v>
      </c>
      <c r="N14" s="14">
        <f>IF(J14=0,"-",IF(J14&lt;&gt;0,SUMIF('Auditorías Riesgos 2019-2023'!H:H,B14,'Auditorías Riesgos 2019-2023'!O:O)))</f>
        <v>19</v>
      </c>
      <c r="O14" s="14">
        <f>IF(J14=0,"-",IF(J14&lt;&gt;0,SUMIF('Auditorías Riesgos 2019-2023'!H:H,B14,'Auditorías Riesgos 2019-2023'!P:P)))</f>
        <v>11</v>
      </c>
      <c r="P14" s="141">
        <f t="shared" si="1"/>
        <v>0.57894736842105265</v>
      </c>
      <c r="Q14" s="14">
        <f>IF(J14=0,"-",IF(J14&lt;&gt;0,SUMIF('Auditorías Riesgos 2019-2023'!H:H,B14,'Auditorías Riesgos 2019-2023'!Q:Q)))</f>
        <v>1</v>
      </c>
      <c r="R14" s="141">
        <f t="shared" si="2"/>
        <v>5.2631578947368418E-2</v>
      </c>
      <c r="S14" s="14">
        <f>IF(J14=0,"-",IF(J14&lt;&gt;0,SUMIF('Auditorías Riesgos 2019-2023'!H:H,B14,'Auditorías Riesgos 2019-2023'!R:R)))</f>
        <v>7</v>
      </c>
      <c r="T14" s="141">
        <f t="shared" si="3"/>
        <v>0.36842105263157893</v>
      </c>
      <c r="U14" s="14">
        <f>IF(J14=0,"-",IF(J14&lt;&gt;0,SUMIF('Auditorías Riesgos 2019-2023'!H:H,B14,'Auditorías Riesgos 2019-2023'!S:S)))</f>
        <v>0</v>
      </c>
      <c r="V14" s="14">
        <f t="shared" si="6"/>
        <v>19</v>
      </c>
      <c r="W14" s="14">
        <f>IF(J14=0,"-",IF(J14&lt;&gt;0,SUMIF('Auditorías Riesgos 2019-2023'!H:H,B14,'Auditorías Riesgos 2019-2023'!T:T)))</f>
        <v>2</v>
      </c>
      <c r="X14" s="141">
        <f t="shared" si="4"/>
        <v>0.25</v>
      </c>
    </row>
    <row r="15" spans="2:24" ht="21" customHeight="1">
      <c r="B15" s="16" t="s">
        <v>25</v>
      </c>
      <c r="C15" s="102"/>
      <c r="D15" s="103"/>
      <c r="E15" s="8">
        <f>COUNTIFS('Auditorías Riesgos 2019-2023'!B:B,$E$5,'Auditorías Riesgos 2019-2023'!H:H,B15)</f>
        <v>1</v>
      </c>
      <c r="F15" s="8">
        <f>COUNTIFS('Auditorías Riesgos 2019-2023'!B:B,$F$5,'Auditorías Riesgos 2019-2023'!H:H,B15)</f>
        <v>1</v>
      </c>
      <c r="G15" s="8">
        <f>COUNTIFS('Auditorías Riesgos 2019-2023'!B:B,$G$5,'Auditorías Riesgos 2019-2023'!H:H,B15)</f>
        <v>0</v>
      </c>
      <c r="H15" s="8">
        <f>COUNTIFS('Auditorías Riesgos 2019-2023'!B:B,$H$5,'Auditorías Riesgos 2019-2023'!H:H,B15)</f>
        <v>0</v>
      </c>
      <c r="I15" s="8">
        <f>COUNTIFS('Auditorías Riesgos 2019-2023'!B:B,$I$5,'Auditorías Riesgos 2019-2023'!H:H,B15)</f>
        <v>0</v>
      </c>
      <c r="J15" s="14">
        <f>SUM(E15:I15)</f>
        <v>2</v>
      </c>
      <c r="K15" s="14">
        <f>IF(J15=0,"-",IF(J15&lt;&gt;0,COUNTIFS('Auditorías Riesgos 2019-2023'!H:H,B15,'Auditorías Riesgos 2019-2023'!L:L,"SI")))</f>
        <v>2</v>
      </c>
      <c r="L15" s="141">
        <f t="shared" si="0"/>
        <v>1</v>
      </c>
      <c r="M15" s="14">
        <f>IF(J15=0,"-",IF(J15&lt;&gt;0,SUMIF('Auditorías Riesgos 2019-2023'!H:H,B15,'Auditorías Riesgos 2019-2023'!K:K)))</f>
        <v>12</v>
      </c>
      <c r="N15" s="14">
        <f>IF(J15=0,"-",IF(J15&lt;&gt;0,SUMIF('Auditorías Riesgos 2019-2023'!H:H,B15,'Auditorías Riesgos 2019-2023'!O:O)))</f>
        <v>13</v>
      </c>
      <c r="O15" s="14">
        <f>IF(J15=0,"-",IF(J15&lt;&gt;0,SUMIF('Auditorías Riesgos 2019-2023'!H:H,B15,'Auditorías Riesgos 2019-2023'!P:P)))</f>
        <v>0</v>
      </c>
      <c r="P15" s="141">
        <f t="shared" si="1"/>
        <v>0</v>
      </c>
      <c r="Q15" s="14">
        <f>IF(J15=0,"-",IF(J15&lt;&gt;0,SUMIF('Auditorías Riesgos 2019-2023'!H:H,B15,'Auditorías Riesgos 2019-2023'!Q:Q)))</f>
        <v>5</v>
      </c>
      <c r="R15" s="141">
        <f t="shared" si="2"/>
        <v>0.38461538461538464</v>
      </c>
      <c r="S15" s="14">
        <f>IF(J15=0,"-",IF(J15&lt;&gt;0,SUMIF('Auditorías Riesgos 2019-2023'!H:H,B15,'Auditorías Riesgos 2019-2023'!R:R)))</f>
        <v>8</v>
      </c>
      <c r="T15" s="141">
        <f t="shared" si="3"/>
        <v>0.61538461538461542</v>
      </c>
      <c r="U15" s="14">
        <f>IF(J15=0,"-",IF(J15&lt;&gt;0,SUMIF('Auditorías Riesgos 2019-2023'!H:H,B15,'Auditorías Riesgos 2019-2023'!S:S)))</f>
        <v>0</v>
      </c>
      <c r="V15" s="14">
        <f t="shared" si="6"/>
        <v>13</v>
      </c>
      <c r="W15" s="14">
        <f>IF(J15=0,"-",IF(J15&lt;&gt;0,SUMIF('Auditorías Riesgos 2019-2023'!H:H,B15,'Auditorías Riesgos 2019-2023'!T:T)))</f>
        <v>0</v>
      </c>
      <c r="X15" s="141">
        <f t="shared" si="4"/>
        <v>0</v>
      </c>
    </row>
    <row r="16" spans="2:24" ht="21" customHeight="1">
      <c r="B16" s="16" t="s">
        <v>71</v>
      </c>
      <c r="C16" s="102"/>
      <c r="D16" s="103"/>
      <c r="E16" s="8">
        <f>COUNTIFS('Auditorías Riesgos 2019-2023'!B:B,$E$5,'Auditorías Riesgos 2019-2023'!H:H,B16)</f>
        <v>0</v>
      </c>
      <c r="F16" s="8">
        <f>COUNTIFS('Auditorías Riesgos 2019-2023'!B:B,$F$5,'Auditorías Riesgos 2019-2023'!H:H,B16)</f>
        <v>1</v>
      </c>
      <c r="G16" s="8">
        <f>COUNTIFS('Auditorías Riesgos 2019-2023'!B:B,$G$5,'Auditorías Riesgos 2019-2023'!H:H,B16)</f>
        <v>0</v>
      </c>
      <c r="H16" s="8">
        <f>COUNTIFS('Auditorías Riesgos 2019-2023'!B:B,$H$5,'Auditorías Riesgos 2019-2023'!H:H,B16)</f>
        <v>0</v>
      </c>
      <c r="I16" s="8">
        <f>COUNTIFS('Auditorías Riesgos 2019-2023'!B:B,$I$5,'Auditorías Riesgos 2019-2023'!H:H,B16)</f>
        <v>0</v>
      </c>
      <c r="J16" s="14">
        <f>SUM(E16:I16)</f>
        <v>1</v>
      </c>
      <c r="K16" s="14">
        <f>IF(J16=0,"-",IF(J16&lt;&gt;0,COUNTIFS('Auditorías Riesgos 2019-2023'!H:H,B16,'Auditorías Riesgos 2019-2023'!L:L,"SI")))</f>
        <v>1</v>
      </c>
      <c r="L16" s="141">
        <f t="shared" si="0"/>
        <v>1</v>
      </c>
      <c r="M16" s="14">
        <f>IF(J16=0,"-",IF(J16&lt;&gt;0,SUMIF('Auditorías Riesgos 2019-2023'!H:H,B16,'Auditorías Riesgos 2019-2023'!K:K)))</f>
        <v>4</v>
      </c>
      <c r="N16" s="14">
        <f>IF(J16=0,"-",IF(J16&lt;&gt;0,SUMIF('Auditorías Riesgos 2019-2023'!H:H,B16,'Auditorías Riesgos 2019-2023'!O:O)))</f>
        <v>16</v>
      </c>
      <c r="O16" s="14">
        <f>IF(J16=0,"-",IF(J16&lt;&gt;0,SUMIF('Auditorías Riesgos 2019-2023'!H:H,B16,'Auditorías Riesgos 2019-2023'!P:P)))</f>
        <v>6</v>
      </c>
      <c r="P16" s="141">
        <f t="shared" si="1"/>
        <v>0.375</v>
      </c>
      <c r="Q16" s="14">
        <f>IF(J16=0,"-",IF(J16&lt;&gt;0,SUMIF('Auditorías Riesgos 2019-2023'!H:H,B16,'Auditorías Riesgos 2019-2023'!Q:Q)))</f>
        <v>9</v>
      </c>
      <c r="R16" s="141">
        <f t="shared" si="2"/>
        <v>0.5625</v>
      </c>
      <c r="S16" s="14">
        <f>IF(J16=0,"-",IF(J16&lt;&gt;0,SUMIF('Auditorías Riesgos 2019-2023'!H:H,B16,'Auditorías Riesgos 2019-2023'!R:R)))</f>
        <v>1</v>
      </c>
      <c r="T16" s="141">
        <f t="shared" si="3"/>
        <v>6.25E-2</v>
      </c>
      <c r="U16" s="14">
        <f>IF(J16=0,"-",IF(J16&lt;&gt;0,SUMIF('Auditorías Riesgos 2019-2023'!H:H,B16,'Auditorías Riesgos 2019-2023'!S:S)))</f>
        <v>0</v>
      </c>
      <c r="V16" s="14">
        <f t="shared" si="6"/>
        <v>16</v>
      </c>
      <c r="W16" s="14">
        <f>IF(J16=0,"-",IF(J16&lt;&gt;0,SUMIF('Auditorías Riesgos 2019-2023'!H:H,B16,'Auditorías Riesgos 2019-2023'!T:T)))</f>
        <v>0</v>
      </c>
      <c r="X16" s="141">
        <f t="shared" si="4"/>
        <v>0</v>
      </c>
    </row>
    <row r="17" spans="2:24" ht="21" customHeight="1">
      <c r="B17" s="16" t="s">
        <v>22</v>
      </c>
      <c r="C17" s="102"/>
      <c r="D17" s="103"/>
      <c r="E17" s="8">
        <f>COUNTIFS('Auditorías Riesgos 2019-2023'!B:B,$E$5,'Auditorías Riesgos 2019-2023'!H:H,B17)</f>
        <v>1</v>
      </c>
      <c r="F17" s="8">
        <f>COUNTIFS('Auditorías Riesgos 2019-2023'!B:B,$F$5,'Auditorías Riesgos 2019-2023'!H:H,B17)</f>
        <v>1</v>
      </c>
      <c r="G17" s="8">
        <f>COUNTIFS('Auditorías Riesgos 2019-2023'!B:B,$G$5,'Auditorías Riesgos 2019-2023'!H:H,B17)</f>
        <v>0</v>
      </c>
      <c r="H17" s="8">
        <f>COUNTIFS('Auditorías Riesgos 2019-2023'!B:B,$H$5,'Auditorías Riesgos 2019-2023'!H:H,B17)</f>
        <v>1</v>
      </c>
      <c r="I17" s="8">
        <f>COUNTIFS('Auditorías Riesgos 2019-2023'!B:B,$I$5,'Auditorías Riesgos 2019-2023'!H:H,B17)</f>
        <v>1</v>
      </c>
      <c r="J17" s="14">
        <f t="shared" ref="J17:J27" si="7">SUM(E17:I17)</f>
        <v>4</v>
      </c>
      <c r="K17" s="14">
        <f>IF(J17=0,"-",IF(J17&lt;&gt;0,COUNTIFS('Auditorías Riesgos 2019-2023'!H:H,B17,'Auditorías Riesgos 2019-2023'!L:L,"SI")))</f>
        <v>2</v>
      </c>
      <c r="L17" s="141">
        <f t="shared" si="0"/>
        <v>0.5</v>
      </c>
      <c r="M17" s="14">
        <f>IF(J17=0,"-",IF(J17&lt;&gt;0,SUMIF('Auditorías Riesgos 2019-2023'!H:H,B17,'Auditorías Riesgos 2019-2023'!K:K)))</f>
        <v>14</v>
      </c>
      <c r="N17" s="14">
        <f>IF(J17=0,"-",IF(J17&lt;&gt;0,SUMIF('Auditorías Riesgos 2019-2023'!H:H,B17,'Auditorías Riesgos 2019-2023'!O:O)))</f>
        <v>20</v>
      </c>
      <c r="O17" s="14">
        <f>IF(J17=0,"-",IF(J17&lt;&gt;0,SUMIF('Auditorías Riesgos 2019-2023'!H:H,B17,'Auditorías Riesgos 2019-2023'!P:P)))</f>
        <v>0</v>
      </c>
      <c r="P17" s="141">
        <f t="shared" si="1"/>
        <v>0</v>
      </c>
      <c r="Q17" s="14">
        <f>IF(J17=0,"-",IF(J17&lt;&gt;0,SUMIF('Auditorías Riesgos 2019-2023'!H:H,B17,'Auditorías Riesgos 2019-2023'!Q:Q)))</f>
        <v>4</v>
      </c>
      <c r="R17" s="141">
        <f t="shared" si="2"/>
        <v>0.2</v>
      </c>
      <c r="S17" s="14">
        <f>IF(J17=0,"-",IF(J17&lt;&gt;0,SUMIF('Auditorías Riesgos 2019-2023'!H:H,B17,'Auditorías Riesgos 2019-2023'!R:R)))</f>
        <v>16</v>
      </c>
      <c r="T17" s="141">
        <f t="shared" si="3"/>
        <v>0.8</v>
      </c>
      <c r="U17" s="14">
        <f>IF(J17=0,"-",IF(J17&lt;&gt;0,SUMIF('Auditorías Riesgos 2019-2023'!H:H,B17,'Auditorías Riesgos 2019-2023'!S:S)))</f>
        <v>0</v>
      </c>
      <c r="V17" s="14">
        <f t="shared" si="6"/>
        <v>20</v>
      </c>
      <c r="W17" s="14">
        <f>IF(J17=0,"-",IF(J17&lt;&gt;0,SUMIF('Auditorías Riesgos 2019-2023'!H:H,B17,'Auditorías Riesgos 2019-2023'!T:T)))</f>
        <v>0</v>
      </c>
      <c r="X17" s="141">
        <f t="shared" si="4"/>
        <v>0</v>
      </c>
    </row>
    <row r="18" spans="2:24" ht="21" customHeight="1">
      <c r="B18" s="16" t="s">
        <v>85</v>
      </c>
      <c r="C18" s="102"/>
      <c r="D18" s="103"/>
      <c r="E18" s="8">
        <f>COUNTIFS('Auditorías Riesgos 2019-2023'!B:B,$E$5,'Auditorías Riesgos 2019-2023'!H:H,B18)</f>
        <v>0</v>
      </c>
      <c r="F18" s="8">
        <f>COUNTIFS('Auditorías Riesgos 2019-2023'!B:B,$F$5,'Auditorías Riesgos 2019-2023'!H:H,B18)</f>
        <v>1</v>
      </c>
      <c r="G18" s="8">
        <f>COUNTIFS('Auditorías Riesgos 2019-2023'!B:B,$G$5,'Auditorías Riesgos 2019-2023'!H:H,B18)</f>
        <v>0</v>
      </c>
      <c r="H18" s="8">
        <f>COUNTIFS('Auditorías Riesgos 2019-2023'!B:B,$H$5,'Auditorías Riesgos 2019-2023'!H:H,B18)</f>
        <v>0</v>
      </c>
      <c r="I18" s="8">
        <f>COUNTIFS('Auditorías Riesgos 2019-2023'!B:B,$I$5,'Auditorías Riesgos 2019-2023'!H:H,B18)</f>
        <v>0</v>
      </c>
      <c r="J18" s="14">
        <f t="shared" si="7"/>
        <v>1</v>
      </c>
      <c r="K18" s="14">
        <f>IF(J18=0,"-",IF(J18&lt;&gt;0,COUNTIFS('Auditorías Riesgos 2019-2023'!H:H,B18,'Auditorías Riesgos 2019-2023'!L:L,"SI")))</f>
        <v>1</v>
      </c>
      <c r="L18" s="141">
        <f t="shared" si="0"/>
        <v>1</v>
      </c>
      <c r="M18" s="14">
        <f>IF(J18=0,"-",IF(J18&lt;&gt;0,SUMIF('Auditorías Riesgos 2019-2023'!H:H,B18,'Auditorías Riesgos 2019-2023'!K:K)))</f>
        <v>6</v>
      </c>
      <c r="N18" s="14">
        <f>IF(J18=0,"-",IF(J18&lt;&gt;0,SUMIF('Auditorías Riesgos 2019-2023'!H:H,B18,'Auditorías Riesgos 2019-2023'!O:O)))</f>
        <v>5</v>
      </c>
      <c r="O18" s="14">
        <f>IF(J18=0,"-",IF(J18&lt;&gt;0,SUMIF('Auditorías Riesgos 2019-2023'!H:H,B18,'Auditorías Riesgos 2019-2023'!P:P)))</f>
        <v>4</v>
      </c>
      <c r="P18" s="141">
        <f t="shared" si="1"/>
        <v>0.8</v>
      </c>
      <c r="Q18" s="14">
        <f>IF(J18=0,"-",IF(J18&lt;&gt;0,SUMIF('Auditorías Riesgos 2019-2023'!H:H,B18,'Auditorías Riesgos 2019-2023'!Q:Q)))</f>
        <v>1</v>
      </c>
      <c r="R18" s="141">
        <f t="shared" si="2"/>
        <v>0.2</v>
      </c>
      <c r="S18" s="14">
        <f>IF(J18=0,"-",IF(J18&lt;&gt;0,SUMIF('Auditorías Riesgos 2019-2023'!H:H,B18,'Auditorías Riesgos 2019-2023'!R:R)))</f>
        <v>0</v>
      </c>
      <c r="T18" s="141">
        <f t="shared" si="3"/>
        <v>0</v>
      </c>
      <c r="U18" s="14">
        <f>IF(J18=0,"-",IF(J18&lt;&gt;0,SUMIF('Auditorías Riesgos 2019-2023'!H:H,B18,'Auditorías Riesgos 2019-2023'!S:S)))</f>
        <v>0</v>
      </c>
      <c r="V18" s="14">
        <f t="shared" si="6"/>
        <v>5</v>
      </c>
      <c r="W18" s="14">
        <f>IF(J18=0,"-",IF(J18&lt;&gt;0,SUMIF('Auditorías Riesgos 2019-2023'!H:H,B18,'Auditorías Riesgos 2019-2023'!T:T)))</f>
        <v>4</v>
      </c>
      <c r="X18" s="141">
        <f t="shared" si="4"/>
        <v>0.66666666666666663</v>
      </c>
    </row>
    <row r="19" spans="2:24" ht="21" customHeight="1">
      <c r="B19" s="16" t="s">
        <v>128</v>
      </c>
      <c r="C19" s="102"/>
      <c r="D19" s="103"/>
      <c r="E19" s="8">
        <f>COUNTIFS('Auditorías Riesgos 2019-2023'!B:B,$E$5,'Auditorías Riesgos 2019-2023'!H:H,B19)</f>
        <v>0</v>
      </c>
      <c r="F19" s="8">
        <f>COUNTIFS('Auditorías Riesgos 2019-2023'!B:B,$F$5,'Auditorías Riesgos 2019-2023'!H:H,B19)</f>
        <v>0</v>
      </c>
      <c r="G19" s="8">
        <f>COUNTIFS('Auditorías Riesgos 2019-2023'!B:B,$G$5,'Auditorías Riesgos 2019-2023'!H:H,B19)</f>
        <v>1</v>
      </c>
      <c r="H19" s="8">
        <f>COUNTIFS('Auditorías Riesgos 2019-2023'!B:B,$H$5,'Auditorías Riesgos 2019-2023'!H:H,B19)</f>
        <v>2</v>
      </c>
      <c r="I19" s="8">
        <f>COUNTIFS('Auditorías Riesgos 2019-2023'!B:B,$I$5,'Auditorías Riesgos 2019-2023'!H:H,B19)</f>
        <v>1</v>
      </c>
      <c r="J19" s="14">
        <f t="shared" si="7"/>
        <v>4</v>
      </c>
      <c r="K19" s="14">
        <f>IF(J19=0,"-",IF(J19&lt;&gt;0,COUNTIFS('Auditorías Riesgos 2019-2023'!H:H,B19,'Auditorías Riesgos 2019-2023'!L:L,"SI")))</f>
        <v>2</v>
      </c>
      <c r="L19" s="141">
        <f t="shared" si="0"/>
        <v>0.5</v>
      </c>
      <c r="M19" s="14">
        <f>IF(J19=0,"-",IF(J19&lt;&gt;0,SUMIF('Auditorías Riesgos 2019-2023'!H:H,B19,'Auditorías Riesgos 2019-2023'!K:K)))</f>
        <v>3</v>
      </c>
      <c r="N19" s="14">
        <f>IF(J19=0,"-",IF(J19&lt;&gt;0,SUMIF('Auditorías Riesgos 2019-2023'!H:H,B19,'Auditorías Riesgos 2019-2023'!O:O)))</f>
        <v>20</v>
      </c>
      <c r="O19" s="14">
        <f>IF(J19=0,"-",IF(J19&lt;&gt;0,SUMIF('Auditorías Riesgos 2019-2023'!H:H,B19,'Auditorías Riesgos 2019-2023'!P:P)))</f>
        <v>3</v>
      </c>
      <c r="P19" s="141">
        <f t="shared" si="1"/>
        <v>0.25</v>
      </c>
      <c r="Q19" s="14">
        <f>IF(J19=0,"-",IF(J19&lt;&gt;0,SUMIF('Auditorías Riesgos 2019-2023'!H:H,B19,'Auditorías Riesgos 2019-2023'!Q:Q)))</f>
        <v>9</v>
      </c>
      <c r="R19" s="141">
        <f t="shared" si="2"/>
        <v>0.75</v>
      </c>
      <c r="S19" s="14">
        <f>IF(J19=0,"-",IF(J19&lt;&gt;0,SUMIF('Auditorías Riesgos 2019-2023'!H:H,B19,'Auditorías Riesgos 2019-2023'!R:R)))</f>
        <v>0</v>
      </c>
      <c r="T19" s="141">
        <f t="shared" si="3"/>
        <v>0</v>
      </c>
      <c r="U19" s="14">
        <f>IF(J19=0,"-",IF(J19&lt;&gt;0,SUMIF('Auditorías Riesgos 2019-2023'!H:H,B19,'Auditorías Riesgos 2019-2023'!S:S)))</f>
        <v>8</v>
      </c>
      <c r="V19" s="14">
        <f t="shared" si="6"/>
        <v>12</v>
      </c>
      <c r="W19" s="14">
        <f>IF(J19=0,"-",IF(J19&lt;&gt;0,SUMIF('Auditorías Riesgos 2019-2023'!H:H,B19,'Auditorías Riesgos 2019-2023'!T:T)))</f>
        <v>0</v>
      </c>
      <c r="X19" s="141">
        <f t="shared" si="4"/>
        <v>0</v>
      </c>
    </row>
    <row r="20" spans="2:24" ht="21" customHeight="1">
      <c r="B20" s="17" t="s">
        <v>67</v>
      </c>
      <c r="C20" s="104"/>
      <c r="D20" s="105"/>
      <c r="E20" s="8">
        <f>COUNTIFS('Auditorías Riesgos 2019-2023'!B:B,$E$5,'Auditorías Riesgos 2019-2023'!H:H,B20)</f>
        <v>0</v>
      </c>
      <c r="F20" s="8">
        <f>COUNTIFS('Auditorías Riesgos 2019-2023'!B:B,$F$5,'Auditorías Riesgos 2019-2023'!H:H,B20)</f>
        <v>2</v>
      </c>
      <c r="G20" s="8">
        <f>COUNTIFS('Auditorías Riesgos 2019-2023'!B:B,$G$5,'Auditorías Riesgos 2019-2023'!H:H,B20)</f>
        <v>2</v>
      </c>
      <c r="H20" s="8">
        <f>COUNTIFS('Auditorías Riesgos 2019-2023'!B:B,$H$5,'Auditorías Riesgos 2019-2023'!H:H,B20)</f>
        <v>0</v>
      </c>
      <c r="I20" s="8">
        <f>COUNTIFS('Auditorías Riesgos 2019-2023'!B:B,$I$5,'Auditorías Riesgos 2019-2023'!H:H,B20)</f>
        <v>1</v>
      </c>
      <c r="J20" s="14">
        <f t="shared" si="7"/>
        <v>5</v>
      </c>
      <c r="K20" s="14">
        <f>IF(J20=0,"-",IF(J20&lt;&gt;0,COUNTIFS('Auditorías Riesgos 2019-2023'!H:H,B20,'Auditorías Riesgos 2019-2023'!L:L,"SI")))</f>
        <v>4</v>
      </c>
      <c r="L20" s="141">
        <f t="shared" si="0"/>
        <v>0.8</v>
      </c>
      <c r="M20" s="14">
        <f>IF(J20=0,"-",IF(J20&lt;&gt;0,SUMIF('Auditorías Riesgos 2019-2023'!H:H,B20,'Auditorías Riesgos 2019-2023'!K:K)))</f>
        <v>40</v>
      </c>
      <c r="N20" s="14">
        <f>IF(J20=0,"-",IF(J20&lt;&gt;0,SUMIF('Auditorías Riesgos 2019-2023'!H:H,B20,'Auditorías Riesgos 2019-2023'!O:O)))</f>
        <v>34</v>
      </c>
      <c r="O20" s="14">
        <f>IF(J20=0,"-",IF(J20&lt;&gt;0,SUMIF('Auditorías Riesgos 2019-2023'!H:H,B20,'Auditorías Riesgos 2019-2023'!P:P)))</f>
        <v>4</v>
      </c>
      <c r="P20" s="141">
        <f t="shared" si="1"/>
        <v>0.22222222222222221</v>
      </c>
      <c r="Q20" s="14">
        <f>IF(J20=0,"-",IF(J20&lt;&gt;0,SUMIF('Auditorías Riesgos 2019-2023'!H:H,B20,'Auditorías Riesgos 2019-2023'!Q:Q)))</f>
        <v>5</v>
      </c>
      <c r="R20" s="141">
        <f t="shared" si="2"/>
        <v>0.27777777777777779</v>
      </c>
      <c r="S20" s="14">
        <f>IF(J20=0,"-",IF(J20&lt;&gt;0,SUMIF('Auditorías Riesgos 2019-2023'!H:H,B20,'Auditorías Riesgos 2019-2023'!R:R)))</f>
        <v>9</v>
      </c>
      <c r="T20" s="141">
        <f t="shared" si="3"/>
        <v>0.5</v>
      </c>
      <c r="U20" s="14">
        <f>IF(J20=0,"-",IF(J20&lt;&gt;0,SUMIF('Auditorías Riesgos 2019-2023'!H:H,B20,'Auditorías Riesgos 2019-2023'!S:S)))</f>
        <v>16</v>
      </c>
      <c r="V20" s="14">
        <f t="shared" si="6"/>
        <v>18</v>
      </c>
      <c r="W20" s="14">
        <f>IF(J20=0,"-",IF(J20&lt;&gt;0,SUMIF('Auditorías Riesgos 2019-2023'!H:H,B20,'Auditorías Riesgos 2019-2023'!T:T)))</f>
        <v>12</v>
      </c>
      <c r="X20" s="141">
        <f t="shared" si="4"/>
        <v>0.3</v>
      </c>
    </row>
    <row r="21" spans="2:24" ht="21" customHeight="1">
      <c r="B21" s="17" t="s">
        <v>36</v>
      </c>
      <c r="C21" s="104"/>
      <c r="D21" s="105"/>
      <c r="E21" s="8">
        <f>COUNTIFS('Auditorías Riesgos 2019-2023'!B:B,$E$5,'Auditorías Riesgos 2019-2023'!H:H,B21)</f>
        <v>2</v>
      </c>
      <c r="F21" s="8">
        <f>COUNTIFS('Auditorías Riesgos 2019-2023'!B:B,$F$5,'Auditorías Riesgos 2019-2023'!H:H,B21)</f>
        <v>1</v>
      </c>
      <c r="G21" s="8">
        <f>COUNTIFS('Auditorías Riesgos 2019-2023'!B:B,$G$5,'Auditorías Riesgos 2019-2023'!H:H,B21)</f>
        <v>4</v>
      </c>
      <c r="H21" s="8">
        <f>COUNTIFS('Auditorías Riesgos 2019-2023'!B:B,$H$5,'Auditorías Riesgos 2019-2023'!H:H,B21)</f>
        <v>3</v>
      </c>
      <c r="I21" s="8">
        <f>COUNTIFS('Auditorías Riesgos 2019-2023'!B:B,$I$5,'Auditorías Riesgos 2019-2023'!H:H,B21)</f>
        <v>8</v>
      </c>
      <c r="J21" s="14">
        <f t="shared" si="7"/>
        <v>18</v>
      </c>
      <c r="K21" s="14">
        <f>IF(J21=0,"-",IF(J21&lt;&gt;0,COUNTIFS('Auditorías Riesgos 2019-2023'!H:H,B21,'Auditorías Riesgos 2019-2023'!L:L,"SI")))</f>
        <v>4</v>
      </c>
      <c r="L21" s="141">
        <f t="shared" si="0"/>
        <v>0.22222222222222221</v>
      </c>
      <c r="M21" s="14">
        <f>IF(J21=0,"-",IF(J21&lt;&gt;0,SUMIF('Auditorías Riesgos 2019-2023'!H:H,B21,'Auditorías Riesgos 2019-2023'!K:K)))</f>
        <v>110</v>
      </c>
      <c r="N21" s="14">
        <f>IF(J21=0,"-",IF(J21&lt;&gt;0,SUMIF('Auditorías Riesgos 2019-2023'!H:H,B21,'Auditorías Riesgos 2019-2023'!O:O)))</f>
        <v>29</v>
      </c>
      <c r="O21" s="14">
        <f>IF(J21=0,"-",IF(J21&lt;&gt;0,SUMIF('Auditorías Riesgos 2019-2023'!H:H,B21,'Auditorías Riesgos 2019-2023'!P:P)))</f>
        <v>2</v>
      </c>
      <c r="P21" s="141">
        <f t="shared" si="1"/>
        <v>7.6923076923076927E-2</v>
      </c>
      <c r="Q21" s="14">
        <f>IF(J21=0,"-",IF(J21&lt;&gt;0,SUMIF('Auditorías Riesgos 2019-2023'!H:H,B21,'Auditorías Riesgos 2019-2023'!Q:Q)))</f>
        <v>15</v>
      </c>
      <c r="R21" s="141">
        <f t="shared" si="2"/>
        <v>0.57692307692307687</v>
      </c>
      <c r="S21" s="14">
        <f>IF(J21=0,"-",IF(J21&lt;&gt;0,SUMIF('Auditorías Riesgos 2019-2023'!H:H,B21,'Auditorías Riesgos 2019-2023'!R:R)))</f>
        <v>9</v>
      </c>
      <c r="T21" s="141">
        <f t="shared" si="3"/>
        <v>0.34615384615384615</v>
      </c>
      <c r="U21" s="14">
        <f>IF(J21=0,"-",IF(J21&lt;&gt;0,SUMIF('Auditorías Riesgos 2019-2023'!H:H,B21,'Auditorías Riesgos 2019-2023'!S:S)))</f>
        <v>3</v>
      </c>
      <c r="V21" s="14">
        <f t="shared" si="6"/>
        <v>26</v>
      </c>
      <c r="W21" s="14">
        <f>IF(J21=0,"-",IF(J21&lt;&gt;0,SUMIF('Auditorías Riesgos 2019-2023'!H:H,B21,'Auditorías Riesgos 2019-2023'!T:T)))</f>
        <v>1</v>
      </c>
      <c r="X21" s="141">
        <f t="shared" si="4"/>
        <v>9.0909090909090905E-3</v>
      </c>
    </row>
    <row r="22" spans="2:24" ht="21" customHeight="1">
      <c r="B22" s="17" t="s">
        <v>106</v>
      </c>
      <c r="C22" s="104"/>
      <c r="D22" s="105"/>
      <c r="E22" s="8">
        <f>COUNTIFS('Auditorías Riesgos 2019-2023'!B:B,$E$5,'Auditorías Riesgos 2019-2023'!H:H,B22)</f>
        <v>0</v>
      </c>
      <c r="F22" s="8">
        <f>COUNTIFS('Auditorías Riesgos 2019-2023'!B:B,$F$5,'Auditorías Riesgos 2019-2023'!H:H,B22)</f>
        <v>0</v>
      </c>
      <c r="G22" s="8">
        <f>COUNTIFS('Auditorías Riesgos 2019-2023'!B:B,$G$5,'Auditorías Riesgos 2019-2023'!H:H,B22)</f>
        <v>1</v>
      </c>
      <c r="H22" s="8">
        <f>COUNTIFS('Auditorías Riesgos 2019-2023'!B:B,$H$5,'Auditorías Riesgos 2019-2023'!H:H,B22)</f>
        <v>0</v>
      </c>
      <c r="I22" s="8">
        <f>COUNTIFS('Auditorías Riesgos 2019-2023'!B:B,$I$5,'Auditorías Riesgos 2019-2023'!H:H,B22)</f>
        <v>4</v>
      </c>
      <c r="J22" s="14">
        <f t="shared" si="7"/>
        <v>5</v>
      </c>
      <c r="K22" s="14">
        <f>IF(J22=0,"-",IF(J22&lt;&gt;0,COUNTIFS('Auditorías Riesgos 2019-2023'!H:H,B22,'Auditorías Riesgos 2019-2023'!L:L,"SI")))</f>
        <v>2</v>
      </c>
      <c r="L22" s="141">
        <f t="shared" si="0"/>
        <v>0.4</v>
      </c>
      <c r="M22" s="14">
        <f>IF(J22=0,"-",IF(J22&lt;&gt;0,SUMIF('Auditorías Riesgos 2019-2023'!H:H,B22,'Auditorías Riesgos 2019-2023'!K:K)))</f>
        <v>16</v>
      </c>
      <c r="N22" s="14">
        <f>IF(J22=0,"-",IF(J22&lt;&gt;0,SUMIF('Auditorías Riesgos 2019-2023'!H:H,B22,'Auditorías Riesgos 2019-2023'!O:O)))</f>
        <v>10</v>
      </c>
      <c r="O22" s="14">
        <f>IF(J22=0,"-",IF(J22&lt;&gt;0,SUMIF('Auditorías Riesgos 2019-2023'!H:H,B22,'Auditorías Riesgos 2019-2023'!P:P)))</f>
        <v>0</v>
      </c>
      <c r="P22" s="141" t="str">
        <f t="shared" si="1"/>
        <v>-</v>
      </c>
      <c r="Q22" s="14">
        <f>IF(J22=0,"-",IF(J22&lt;&gt;0,SUMIF('Auditorías Riesgos 2019-2023'!H:H,B22,'Auditorías Riesgos 2019-2023'!Q:Q)))</f>
        <v>0</v>
      </c>
      <c r="R22" s="141" t="str">
        <f t="shared" si="2"/>
        <v>-</v>
      </c>
      <c r="S22" s="14">
        <f>IF(J22=0,"-",IF(J22&lt;&gt;0,SUMIF('Auditorías Riesgos 2019-2023'!H:H,B22,'Auditorías Riesgos 2019-2023'!R:R)))</f>
        <v>0</v>
      </c>
      <c r="T22" s="141" t="str">
        <f t="shared" si="3"/>
        <v>-</v>
      </c>
      <c r="U22" s="14">
        <f>IF(J22=0,"-",IF(J22&lt;&gt;0,SUMIF('Auditorías Riesgos 2019-2023'!H:H,B22,'Auditorías Riesgos 2019-2023'!S:S)))</f>
        <v>10</v>
      </c>
      <c r="V22" s="14">
        <f t="shared" si="6"/>
        <v>0</v>
      </c>
      <c r="W22" s="14">
        <f>IF(J22=0,"-",IF(J22&lt;&gt;0,SUMIF('Auditorías Riesgos 2019-2023'!H:H,B22,'Auditorías Riesgos 2019-2023'!T:T)))</f>
        <v>0</v>
      </c>
      <c r="X22" s="141">
        <f t="shared" si="4"/>
        <v>0</v>
      </c>
    </row>
    <row r="23" spans="2:24" ht="21" customHeight="1">
      <c r="B23" s="17" t="s">
        <v>41</v>
      </c>
      <c r="C23" s="104"/>
      <c r="D23" s="105"/>
      <c r="E23" s="8">
        <f>COUNTIFS('Auditorías Riesgos 2019-2023'!B:B,$E$5,'Auditorías Riesgos 2019-2023'!H:H,B23)</f>
        <v>1</v>
      </c>
      <c r="F23" s="8">
        <f>COUNTIFS('Auditorías Riesgos 2019-2023'!B:B,$F$5,'Auditorías Riesgos 2019-2023'!H:H,B23)</f>
        <v>2</v>
      </c>
      <c r="G23" s="8">
        <f>COUNTIFS('Auditorías Riesgos 2019-2023'!B:B,$G$5,'Auditorías Riesgos 2019-2023'!H:H,B23)</f>
        <v>4</v>
      </c>
      <c r="H23" s="8">
        <f>COUNTIFS('Auditorías Riesgos 2019-2023'!B:B,$H$5,'Auditorías Riesgos 2019-2023'!H:H,B23)</f>
        <v>4</v>
      </c>
      <c r="I23" s="8">
        <f>COUNTIFS('Auditorías Riesgos 2019-2023'!B:B,$I$5,'Auditorías Riesgos 2019-2023'!H:H,B23)</f>
        <v>1</v>
      </c>
      <c r="J23" s="14">
        <f t="shared" si="7"/>
        <v>12</v>
      </c>
      <c r="K23" s="14">
        <f>IF(J23=0,"-",IF(J23&lt;&gt;0,COUNTIFS('Auditorías Riesgos 2019-2023'!H:H,B23,'Auditorías Riesgos 2019-2023'!L:L,"SI")))</f>
        <v>4</v>
      </c>
      <c r="L23" s="141">
        <f t="shared" si="0"/>
        <v>0.33333333333333331</v>
      </c>
      <c r="M23" s="14">
        <f>IF(J23=0,"-",IF(J23&lt;&gt;0,SUMIF('Auditorías Riesgos 2019-2023'!H:H,B23,'Auditorías Riesgos 2019-2023'!K:K)))</f>
        <v>46</v>
      </c>
      <c r="N23" s="14">
        <f>IF(J23=0,"-",IF(J23&lt;&gt;0,SUMIF('Auditorías Riesgos 2019-2023'!H:H,B23,'Auditorías Riesgos 2019-2023'!O:O)))</f>
        <v>40</v>
      </c>
      <c r="O23" s="14">
        <f>IF(J23=0,"-",IF(J23&lt;&gt;0,SUMIF('Auditorías Riesgos 2019-2023'!H:H,B23,'Auditorías Riesgos 2019-2023'!P:P)))</f>
        <v>0</v>
      </c>
      <c r="P23" s="141">
        <f t="shared" si="1"/>
        <v>0</v>
      </c>
      <c r="Q23" s="14">
        <f>IF(J23=0,"-",IF(J23&lt;&gt;0,SUMIF('Auditorías Riesgos 2019-2023'!H:H,B23,'Auditorías Riesgos 2019-2023'!Q:Q)))</f>
        <v>3</v>
      </c>
      <c r="R23" s="141">
        <f t="shared" si="2"/>
        <v>0.21428571428571427</v>
      </c>
      <c r="S23" s="14">
        <f>IF(J23=0,"-",IF(J23&lt;&gt;0,SUMIF('Auditorías Riesgos 2019-2023'!H:H,B23,'Auditorías Riesgos 2019-2023'!R:R)))</f>
        <v>11</v>
      </c>
      <c r="T23" s="141">
        <f t="shared" si="3"/>
        <v>0.7857142857142857</v>
      </c>
      <c r="U23" s="14">
        <f>IF(J23=0,"-",IF(J23&lt;&gt;0,SUMIF('Auditorías Riesgos 2019-2023'!H:H,B23,'Auditorías Riesgos 2019-2023'!S:S)))</f>
        <v>26</v>
      </c>
      <c r="V23" s="14">
        <f t="shared" si="6"/>
        <v>14</v>
      </c>
      <c r="W23" s="14">
        <f>IF(J23=0,"-",IF(J23&lt;&gt;0,SUMIF('Auditorías Riesgos 2019-2023'!H:H,B23,'Auditorías Riesgos 2019-2023'!T:T)))</f>
        <v>0</v>
      </c>
      <c r="X23" s="141">
        <f t="shared" si="4"/>
        <v>0</v>
      </c>
    </row>
    <row r="24" spans="2:24" ht="21" customHeight="1">
      <c r="B24" s="17" t="s">
        <v>55</v>
      </c>
      <c r="C24" s="104"/>
      <c r="D24" s="105"/>
      <c r="E24" s="8">
        <f>COUNTIFS('Auditorías Riesgos 2019-2023'!B:B,$E$5,'Auditorías Riesgos 2019-2023'!H:H,B24)</f>
        <v>1</v>
      </c>
      <c r="F24" s="8">
        <f>COUNTIFS('Auditorías Riesgos 2019-2023'!B:B,$F$5,'Auditorías Riesgos 2019-2023'!H:H,B24)</f>
        <v>0</v>
      </c>
      <c r="G24" s="8">
        <f>COUNTIFS('Auditorías Riesgos 2019-2023'!B:B,$G$5,'Auditorías Riesgos 2019-2023'!H:H,B24)</f>
        <v>1</v>
      </c>
      <c r="H24" s="8">
        <f>COUNTIFS('Auditorías Riesgos 2019-2023'!B:B,$H$5,'Auditorías Riesgos 2019-2023'!H:H,B24)</f>
        <v>0</v>
      </c>
      <c r="I24" s="8">
        <f>COUNTIFS('Auditorías Riesgos 2019-2023'!B:B,$I$5,'Auditorías Riesgos 2019-2023'!H:H,B24)</f>
        <v>0</v>
      </c>
      <c r="J24" s="14">
        <f t="shared" si="7"/>
        <v>2</v>
      </c>
      <c r="K24" s="14">
        <f>IF(J24=0,"-",IF(J24&lt;&gt;0,COUNTIFS('Auditorías Riesgos 2019-2023'!H:H,B24,'Auditorías Riesgos 2019-2023'!L:L,"SI")))</f>
        <v>1</v>
      </c>
      <c r="L24" s="141">
        <f t="shared" si="0"/>
        <v>0.5</v>
      </c>
      <c r="M24" s="14">
        <f>IF(J24=0,"-",IF(J24&lt;&gt;0,SUMIF('Auditorías Riesgos 2019-2023'!H:H,B24,'Auditorías Riesgos 2019-2023'!K:K)))</f>
        <v>8</v>
      </c>
      <c r="N24" s="14">
        <f>IF(J24=0,"-",IF(J24&lt;&gt;0,SUMIF('Auditorías Riesgos 2019-2023'!H:H,B24,'Auditorías Riesgos 2019-2023'!O:O)))</f>
        <v>15</v>
      </c>
      <c r="O24" s="14">
        <f>IF(J24=0,"-",IF(J24&lt;&gt;0,SUMIF('Auditorías Riesgos 2019-2023'!H:H,B24,'Auditorías Riesgos 2019-2023'!P:P)))</f>
        <v>0</v>
      </c>
      <c r="P24" s="141" t="str">
        <f t="shared" si="1"/>
        <v>-</v>
      </c>
      <c r="Q24" s="14">
        <f>IF(J24=0,"-",IF(J24&lt;&gt;0,SUMIF('Auditorías Riesgos 2019-2023'!H:H,B24,'Auditorías Riesgos 2019-2023'!Q:Q)))</f>
        <v>0</v>
      </c>
      <c r="R24" s="141" t="str">
        <f t="shared" si="2"/>
        <v>-</v>
      </c>
      <c r="S24" s="14">
        <f>IF(J24=0,"-",IF(J24&lt;&gt;0,SUMIF('Auditorías Riesgos 2019-2023'!H:H,B24,'Auditorías Riesgos 2019-2023'!R:R)))</f>
        <v>0</v>
      </c>
      <c r="T24" s="141" t="str">
        <f t="shared" si="3"/>
        <v>-</v>
      </c>
      <c r="U24" s="14">
        <f>IF(J24=0,"-",IF(J24&lt;&gt;0,SUMIF('Auditorías Riesgos 2019-2023'!H:H,B24,'Auditorías Riesgos 2019-2023'!S:S)))</f>
        <v>15</v>
      </c>
      <c r="V24" s="14">
        <f t="shared" si="6"/>
        <v>0</v>
      </c>
      <c r="W24" s="14">
        <f>IF(J24=0,"-",IF(J24&lt;&gt;0,SUMIF('Auditorías Riesgos 2019-2023'!H:H,B24,'Auditorías Riesgos 2019-2023'!T:T)))</f>
        <v>0</v>
      </c>
      <c r="X24" s="141">
        <f t="shared" si="4"/>
        <v>0</v>
      </c>
    </row>
    <row r="25" spans="2:24" ht="21" customHeight="1">
      <c r="B25" s="17" t="s">
        <v>186</v>
      </c>
      <c r="C25" s="104"/>
      <c r="D25" s="105"/>
      <c r="E25" s="8">
        <f>COUNTIFS('Auditorías Riesgos 2019-2023'!B:B,$E$5,'Auditorías Riesgos 2019-2023'!H:H,B25)</f>
        <v>0</v>
      </c>
      <c r="F25" s="8">
        <f>COUNTIFS('Auditorías Riesgos 2019-2023'!B:B,$F$5,'Auditorías Riesgos 2019-2023'!H:H,B25)</f>
        <v>0</v>
      </c>
      <c r="G25" s="8">
        <f>COUNTIFS('Auditorías Riesgos 2019-2023'!B:B,$G$5,'Auditorías Riesgos 2019-2023'!H:H,B25)</f>
        <v>0</v>
      </c>
      <c r="H25" s="8">
        <f>COUNTIFS('Auditorías Riesgos 2019-2023'!B:B,$H$5,'Auditorías Riesgos 2019-2023'!H:H,B25)</f>
        <v>0</v>
      </c>
      <c r="I25" s="8">
        <f>COUNTIFS('Auditorías Riesgos 2019-2023'!B:B,$I$5,'Auditorías Riesgos 2019-2023'!H:H,B25)</f>
        <v>1</v>
      </c>
      <c r="J25" s="14">
        <f t="shared" si="7"/>
        <v>1</v>
      </c>
      <c r="K25" s="14">
        <f>IF(J25=0,"-",IF(J25&lt;&gt;0,COUNTIFS('Auditorías Riesgos 2019-2023'!H:H,B25,'Auditorías Riesgos 2019-2023'!L:L,"SI")))</f>
        <v>0</v>
      </c>
      <c r="L25" s="141">
        <f t="shared" si="0"/>
        <v>0</v>
      </c>
      <c r="M25" s="14">
        <f>IF(J25=0,"-",IF(J25&lt;&gt;0,SUMIF('Auditorías Riesgos 2019-2023'!H:H,B25,'Auditorías Riesgos 2019-2023'!K:K)))</f>
        <v>9</v>
      </c>
      <c r="N25" s="14">
        <f>IF(J25=0,"-",IF(J25&lt;&gt;0,SUMIF('Auditorías Riesgos 2019-2023'!H:H,B25,'Auditorías Riesgos 2019-2023'!O:O)))</f>
        <v>0</v>
      </c>
      <c r="O25" s="14">
        <f>IF(J25=0,"-",IF(J25&lt;&gt;0,SUMIF('Auditorías Riesgos 2019-2023'!H:H,B25,'Auditorías Riesgos 2019-2023'!P:P)))</f>
        <v>0</v>
      </c>
      <c r="P25" s="141" t="str">
        <f t="shared" si="1"/>
        <v>-</v>
      </c>
      <c r="Q25" s="14">
        <f>IF(J25=0,"-",IF(J25&lt;&gt;0,SUMIF('Auditorías Riesgos 2019-2023'!H:H,B25,'Auditorías Riesgos 2019-2023'!Q:Q)))</f>
        <v>0</v>
      </c>
      <c r="R25" s="141" t="str">
        <f t="shared" si="2"/>
        <v>-</v>
      </c>
      <c r="S25" s="14">
        <f>IF(J25=0,"-",IF(J25&lt;&gt;0,SUMIF('Auditorías Riesgos 2019-2023'!H:H,B25,'Auditorías Riesgos 2019-2023'!R:R)))</f>
        <v>0</v>
      </c>
      <c r="T25" s="141" t="str">
        <f t="shared" si="3"/>
        <v>-</v>
      </c>
      <c r="U25" s="14">
        <f>IF(J25=0,"-",IF(J25&lt;&gt;0,SUMIF('Auditorías Riesgos 2019-2023'!H:H,B25,'Auditorías Riesgos 2019-2023'!S:S)))</f>
        <v>0</v>
      </c>
      <c r="V25" s="14">
        <f t="shared" si="6"/>
        <v>0</v>
      </c>
      <c r="W25" s="14">
        <f>IF(J25=0,"-",IF(J25&lt;&gt;0,SUMIF('Auditorías Riesgos 2019-2023'!H:H,B25,'Auditorías Riesgos 2019-2023'!T:T)))</f>
        <v>0</v>
      </c>
      <c r="X25" s="141">
        <f t="shared" si="4"/>
        <v>0</v>
      </c>
    </row>
    <row r="26" spans="2:24" ht="21" customHeight="1">
      <c r="B26" s="17" t="s">
        <v>51</v>
      </c>
      <c r="C26" s="104"/>
      <c r="D26" s="105"/>
      <c r="E26" s="8">
        <f>COUNTIFS('Auditorías Riesgos 2019-2023'!B:B,$E$5,'Auditorías Riesgos 2019-2023'!H:H,B26)</f>
        <v>1</v>
      </c>
      <c r="F26" s="8">
        <f>COUNTIFS('Auditorías Riesgos 2019-2023'!B:B,$F$5,'Auditorías Riesgos 2019-2023'!H:H,B26)</f>
        <v>0</v>
      </c>
      <c r="G26" s="8">
        <f>COUNTIFS('Auditorías Riesgos 2019-2023'!B:B,$G$5,'Auditorías Riesgos 2019-2023'!H:H,B26)</f>
        <v>1</v>
      </c>
      <c r="H26" s="8">
        <f>COUNTIFS('Auditorías Riesgos 2019-2023'!B:B,$H$5,'Auditorías Riesgos 2019-2023'!H:H,B26)</f>
        <v>0</v>
      </c>
      <c r="I26" s="8">
        <f>COUNTIFS('Auditorías Riesgos 2019-2023'!B:B,$I$5,'Auditorías Riesgos 2019-2023'!H:H,B26)</f>
        <v>0</v>
      </c>
      <c r="J26" s="14">
        <f t="shared" si="7"/>
        <v>2</v>
      </c>
      <c r="K26" s="14">
        <f>IF(J26=0,"-",IF(J26&lt;&gt;0,COUNTIFS('Auditorías Riesgos 2019-2023'!H:H,B26,'Auditorías Riesgos 2019-2023'!L:L,"SI")))</f>
        <v>2</v>
      </c>
      <c r="L26" s="141">
        <f t="shared" si="0"/>
        <v>1</v>
      </c>
      <c r="M26" s="14">
        <f>IF(J26=0,"-",IF(J26&lt;&gt;0,SUMIF('Auditorías Riesgos 2019-2023'!H:H,B26,'Auditorías Riesgos 2019-2023'!K:K)))</f>
        <v>10</v>
      </c>
      <c r="N26" s="14">
        <f>IF(J26=0,"-",IF(J26&lt;&gt;0,SUMIF('Auditorías Riesgos 2019-2023'!H:H,B26,'Auditorías Riesgos 2019-2023'!O:O)))</f>
        <v>23</v>
      </c>
      <c r="O26" s="14">
        <f>IF(J26=0,"-",IF(J26&lt;&gt;0,SUMIF('Auditorías Riesgos 2019-2023'!H:H,B26,'Auditorías Riesgos 2019-2023'!P:P)))</f>
        <v>5</v>
      </c>
      <c r="P26" s="141">
        <f t="shared" si="1"/>
        <v>0.21739130434782608</v>
      </c>
      <c r="Q26" s="14">
        <f>IF(J26=0,"-",IF(J26&lt;&gt;0,SUMIF('Auditorías Riesgos 2019-2023'!H:H,B26,'Auditorías Riesgos 2019-2023'!Q:Q)))</f>
        <v>6</v>
      </c>
      <c r="R26" s="141">
        <f t="shared" si="2"/>
        <v>0.2608695652173913</v>
      </c>
      <c r="S26" s="14">
        <f>IF(J26=0,"-",IF(J26&lt;&gt;0,SUMIF('Auditorías Riesgos 2019-2023'!H:H,B26,'Auditorías Riesgos 2019-2023'!R:R)))</f>
        <v>12</v>
      </c>
      <c r="T26" s="141">
        <f t="shared" si="3"/>
        <v>0.52173913043478259</v>
      </c>
      <c r="U26" s="14">
        <f>IF(J26=0,"-",IF(J26&lt;&gt;0,SUMIF('Auditorías Riesgos 2019-2023'!H:H,B26,'Auditorías Riesgos 2019-2023'!S:S)))</f>
        <v>0</v>
      </c>
      <c r="V26" s="14">
        <f t="shared" si="6"/>
        <v>23</v>
      </c>
      <c r="W26" s="14">
        <f>IF(J26=0,"-",IF(J26&lt;&gt;0,SUMIF('Auditorías Riesgos 2019-2023'!H:H,B26,'Auditorías Riesgos 2019-2023'!T:T)))</f>
        <v>2</v>
      </c>
      <c r="X26" s="141">
        <f t="shared" si="4"/>
        <v>0.2</v>
      </c>
    </row>
    <row r="27" spans="2:24" ht="21" customHeight="1">
      <c r="B27" s="17" t="s">
        <v>205</v>
      </c>
      <c r="C27" s="104"/>
      <c r="D27" s="105"/>
      <c r="E27" s="8">
        <f>COUNTIFS('Auditorías Riesgos 2019-2023'!B:B,$E$5,'Auditorías Riesgos 2019-2023'!H:H,B27)</f>
        <v>0</v>
      </c>
      <c r="F27" s="8">
        <f>COUNTIFS('Auditorías Riesgos 2019-2023'!B:B,$F$5,'Auditorías Riesgos 2019-2023'!H:H,B27)</f>
        <v>0</v>
      </c>
      <c r="G27" s="8">
        <f>COUNTIFS('Auditorías Riesgos 2019-2023'!B:B,$G$5,'Auditorías Riesgos 2019-2023'!H:H,B27)</f>
        <v>0</v>
      </c>
      <c r="H27" s="8">
        <f>COUNTIFS('Auditorías Riesgos 2019-2023'!B:B,$H$5,'Auditorías Riesgos 2019-2023'!H:H,B27)</f>
        <v>0</v>
      </c>
      <c r="I27" s="8">
        <f>COUNTIFS('Auditorías Riesgos 2019-2023'!B:B,$I$5,'Auditorías Riesgos 2019-2023'!H:H,B27)</f>
        <v>0</v>
      </c>
      <c r="J27" s="14">
        <f t="shared" si="7"/>
        <v>0</v>
      </c>
      <c r="K27" s="14" t="str">
        <f>IF(J27=0,"-",IF(J27&lt;&gt;0,COUNTIFS('Auditorías Riesgos 2019-2023'!H:H,B27,'Auditorías Riesgos 2019-2023'!L:L,"SI")))</f>
        <v>-</v>
      </c>
      <c r="L27" s="141" t="str">
        <f t="shared" si="0"/>
        <v>-</v>
      </c>
      <c r="M27" s="14" t="str">
        <f>IF(J27=0,"-",IF(J27&lt;&gt;0,SUMIF('Auditorías Riesgos 2019-2023'!H:H,B27,'Auditorías Riesgos 2019-2023'!K:K)))</f>
        <v>-</v>
      </c>
      <c r="N27" s="14" t="str">
        <f>IF(J27=0,"-",IF(J27&lt;&gt;0,SUMIF('Auditorías Riesgos 2019-2023'!H:H,B27,'Auditorías Riesgos 2019-2023'!O:O)))</f>
        <v>-</v>
      </c>
      <c r="O27" s="14" t="str">
        <f>IF(J27=0,"-",IF(J27&lt;&gt;0,SUMIF('Auditorías Riesgos 2019-2023'!H:H,B27,'Auditorías Riesgos 2019-2023'!P:P)))</f>
        <v>-</v>
      </c>
      <c r="P27" s="141" t="str">
        <f t="shared" si="1"/>
        <v>-</v>
      </c>
      <c r="Q27" s="14" t="str">
        <f>IF(J27=0,"-",IF(J27&lt;&gt;0,SUMIF('Auditorías Riesgos 2019-2023'!H:H,B27,'Auditorías Riesgos 2019-2023'!Q:Q)))</f>
        <v>-</v>
      </c>
      <c r="R27" s="141" t="str">
        <f t="shared" si="2"/>
        <v>-</v>
      </c>
      <c r="S27" s="14" t="str">
        <f>IF(J27=0,"-",IF(J27&lt;&gt;0,SUMIF('Auditorías Riesgos 2019-2023'!H:H,B27,'Auditorías Riesgos 2019-2023'!R:R)))</f>
        <v>-</v>
      </c>
      <c r="T27" s="141" t="str">
        <f t="shared" si="3"/>
        <v>-</v>
      </c>
      <c r="U27" s="14" t="str">
        <f>IF(J27=0,"-",IF(J27&lt;&gt;0,SUMIF('Auditorías Riesgos 2019-2023'!H:H,B27,'Auditorías Riesgos 2019-2023'!S:S)))</f>
        <v>-</v>
      </c>
      <c r="V27" s="14" t="str">
        <f t="shared" si="6"/>
        <v>-</v>
      </c>
      <c r="W27" s="14" t="str">
        <f>IF(J27=0,"-",IF(J27&lt;&gt;0,SUMIF('Auditorías Riesgos 2019-2023'!H:H,B27,'Auditorías Riesgos 2019-2023'!T:T)))</f>
        <v>-</v>
      </c>
      <c r="X27" s="141" t="str">
        <f t="shared" si="4"/>
        <v>-</v>
      </c>
    </row>
    <row r="28" spans="2:24" ht="21" customHeight="1">
      <c r="B28" s="18" t="s">
        <v>206</v>
      </c>
      <c r="C28" s="106"/>
      <c r="D28" s="107"/>
      <c r="E28" s="8">
        <f>COUNTIFS('Auditorías Riesgos 2019-2023'!B:B,$E$5,'Auditorías Riesgos 2019-2023'!H:H,B28)</f>
        <v>0</v>
      </c>
      <c r="F28" s="8">
        <f>COUNTIFS('Auditorías Riesgos 2019-2023'!B:B,$F$5,'Auditorías Riesgos 2019-2023'!H:H,B28)</f>
        <v>0</v>
      </c>
      <c r="G28" s="8">
        <f>COUNTIFS('Auditorías Riesgos 2019-2023'!B:B,$G$5,'Auditorías Riesgos 2019-2023'!H:H,B28)</f>
        <v>0</v>
      </c>
      <c r="H28" s="8">
        <f>COUNTIFS('Auditorías Riesgos 2019-2023'!B:B,$H$5,'Auditorías Riesgos 2019-2023'!H:H,B28)</f>
        <v>0</v>
      </c>
      <c r="I28" s="8">
        <f>COUNTIFS('Auditorías Riesgos 2019-2023'!B:B,$I$5,'Auditorías Riesgos 2019-2023'!H:H,B28)</f>
        <v>0</v>
      </c>
      <c r="J28" s="14">
        <f>SUM(E28:I28)</f>
        <v>0</v>
      </c>
      <c r="K28" s="14" t="str">
        <f>IF(J28=0,"-",IF(J28&lt;&gt;0,COUNTIFS('Auditorías Riesgos 2019-2023'!H:H,B28,'Auditorías Riesgos 2019-2023'!L:L,"SI")))</f>
        <v>-</v>
      </c>
      <c r="L28" s="141" t="str">
        <f t="shared" si="0"/>
        <v>-</v>
      </c>
      <c r="M28" s="14" t="str">
        <f>IF(J28=0,"-",IF(J28&lt;&gt;0,SUMIF('Auditorías Riesgos 2019-2023'!H:H,B28,'Auditorías Riesgos 2019-2023'!K:K)))</f>
        <v>-</v>
      </c>
      <c r="N28" s="14" t="str">
        <f>IF(J28=0,"-",IF(J28&lt;&gt;0,SUMIF('Auditorías Riesgos 2019-2023'!H:H,B28,'Auditorías Riesgos 2019-2023'!O:O)))</f>
        <v>-</v>
      </c>
      <c r="O28" s="14" t="str">
        <f>IF(J28=0,"-",IF(J28&lt;&gt;0,SUMIF('Auditorías Riesgos 2019-2023'!H:H,B28,'Auditorías Riesgos 2019-2023'!P:P)))</f>
        <v>-</v>
      </c>
      <c r="P28" s="141" t="str">
        <f t="shared" si="1"/>
        <v>-</v>
      </c>
      <c r="Q28" s="14" t="str">
        <f>IF(J28=0,"-",IF(J28&lt;&gt;0,SUMIF('Auditorías Riesgos 2019-2023'!H:H,B28,'Auditorías Riesgos 2019-2023'!Q:Q)))</f>
        <v>-</v>
      </c>
      <c r="R28" s="141" t="str">
        <f t="shared" si="2"/>
        <v>-</v>
      </c>
      <c r="S28" s="14" t="str">
        <f>IF(J28=0,"-",IF(J28&lt;&gt;0,SUMIF('Auditorías Riesgos 2019-2023'!H:H,B28,'Auditorías Riesgos 2019-2023'!R:R)))</f>
        <v>-</v>
      </c>
      <c r="T28" s="141" t="str">
        <f t="shared" si="3"/>
        <v>-</v>
      </c>
      <c r="U28" s="14" t="str">
        <f>IF(J28=0,"-",IF(J28&lt;&gt;0,SUMIF('Auditorías Riesgos 2019-2023'!H:H,B28,'Auditorías Riesgos 2019-2023'!S:S)))</f>
        <v>-</v>
      </c>
      <c r="V28" s="14" t="str">
        <f t="shared" si="6"/>
        <v>-</v>
      </c>
      <c r="W28" s="14" t="str">
        <f>IF(J28=0,"-",IF(J28&lt;&gt;0,SUMIF('Auditorías Riesgos 2019-2023'!H:H,B28,'Auditorías Riesgos 2019-2023'!T:T)))</f>
        <v>-</v>
      </c>
      <c r="X28" s="141" t="str">
        <f t="shared" si="4"/>
        <v>-</v>
      </c>
    </row>
    <row r="29" spans="2:24" ht="21" customHeight="1">
      <c r="B29" s="19" t="s">
        <v>118</v>
      </c>
      <c r="C29" s="108"/>
      <c r="D29" s="109"/>
      <c r="E29" s="8">
        <f>COUNTIFS('Auditorías Riesgos 2019-2023'!B:B,$E$5,'Auditorías Riesgos 2019-2023'!H:H,B29)</f>
        <v>0</v>
      </c>
      <c r="F29" s="8">
        <f>COUNTIFS('Auditorías Riesgos 2019-2023'!B:B,$F$5,'Auditorías Riesgos 2019-2023'!H:H,B29)</f>
        <v>0</v>
      </c>
      <c r="G29" s="8">
        <f>COUNTIFS('Auditorías Riesgos 2019-2023'!B:B,$G$5,'Auditorías Riesgos 2019-2023'!H:H,B29)</f>
        <v>1</v>
      </c>
      <c r="H29" s="8">
        <f>COUNTIFS('Auditorías Riesgos 2019-2023'!B:B,$H$5,'Auditorías Riesgos 2019-2023'!H:H,B29)</f>
        <v>0</v>
      </c>
      <c r="I29" s="8">
        <f>COUNTIFS('Auditorías Riesgos 2019-2023'!B:B,$I$5,'Auditorías Riesgos 2019-2023'!H:H,B29)</f>
        <v>1</v>
      </c>
      <c r="J29" s="14">
        <f>SUM(E29:I29)</f>
        <v>2</v>
      </c>
      <c r="K29" s="14">
        <f>IF(J29=0,"-",IF(J29&lt;&gt;0,COUNTIFS('Auditorías Riesgos 2019-2023'!H:H,B29,'Auditorías Riesgos 2019-2023'!L:L,"SI")))</f>
        <v>1</v>
      </c>
      <c r="L29" s="141">
        <f t="shared" si="0"/>
        <v>0.5</v>
      </c>
      <c r="M29" s="14">
        <f>IF(J29=0,"-",IF(J29&lt;&gt;0,SUMIF('Auditorías Riesgos 2019-2023'!H:H,B29,'Auditorías Riesgos 2019-2023'!K:K)))</f>
        <v>4</v>
      </c>
      <c r="N29" s="14">
        <f>IF(J29=0,"-",IF(J29&lt;&gt;0,SUMIF('Auditorías Riesgos 2019-2023'!H:H,B29,'Auditorías Riesgos 2019-2023'!O:O)))</f>
        <v>12</v>
      </c>
      <c r="O29" s="14">
        <f>IF(J29=0,"-",IF(J29&lt;&gt;0,SUMIF('Auditorías Riesgos 2019-2023'!H:H,B29,'Auditorías Riesgos 2019-2023'!P:P)))</f>
        <v>0</v>
      </c>
      <c r="P29" s="141">
        <f t="shared" si="1"/>
        <v>0</v>
      </c>
      <c r="Q29" s="14">
        <f>IF(J29=0,"-",IF(J29&lt;&gt;0,SUMIF('Auditorías Riesgos 2019-2023'!H:H,B29,'Auditorías Riesgos 2019-2023'!Q:Q)))</f>
        <v>4</v>
      </c>
      <c r="R29" s="141">
        <f t="shared" si="2"/>
        <v>0.33333333333333331</v>
      </c>
      <c r="S29" s="14">
        <f>IF(J29=0,"-",IF(J29&lt;&gt;0,SUMIF('Auditorías Riesgos 2019-2023'!H:H,B29,'Auditorías Riesgos 2019-2023'!R:R)))</f>
        <v>8</v>
      </c>
      <c r="T29" s="141">
        <f t="shared" si="3"/>
        <v>0.66666666666666663</v>
      </c>
      <c r="U29" s="14">
        <f>IF(J29=0,"-",IF(J29&lt;&gt;0,SUMIF('Auditorías Riesgos 2019-2023'!H:H,B29,'Auditorías Riesgos 2019-2023'!S:S)))</f>
        <v>0</v>
      </c>
      <c r="V29" s="14">
        <f t="shared" si="6"/>
        <v>12</v>
      </c>
      <c r="W29" s="14">
        <f>IF(J29=0,"-",IF(J29&lt;&gt;0,SUMIF('Auditorías Riesgos 2019-2023'!H:H,B29,'Auditorías Riesgos 2019-2023'!T:T)))</f>
        <v>0</v>
      </c>
      <c r="X29" s="141">
        <f t="shared" si="4"/>
        <v>0</v>
      </c>
    </row>
    <row r="30" spans="2:24" ht="21" customHeight="1">
      <c r="B30" s="19" t="s">
        <v>163</v>
      </c>
      <c r="C30" s="108"/>
      <c r="D30" s="109"/>
      <c r="E30" s="8">
        <f>COUNTIFS('Auditorías Riesgos 2019-2023'!B:B,$E$5,'Auditorías Riesgos 2019-2023'!H:H,B30)</f>
        <v>0</v>
      </c>
      <c r="F30" s="8">
        <f>COUNTIFS('Auditorías Riesgos 2019-2023'!B:B,$F$5,'Auditorías Riesgos 2019-2023'!H:H,B30)</f>
        <v>0</v>
      </c>
      <c r="G30" s="8">
        <f>COUNTIFS('Auditorías Riesgos 2019-2023'!B:B,$G$5,'Auditorías Riesgos 2019-2023'!H:H,B30)</f>
        <v>0</v>
      </c>
      <c r="H30" s="8">
        <f>COUNTIFS('Auditorías Riesgos 2019-2023'!B:B,$H$5,'Auditorías Riesgos 2019-2023'!H:H,B30)</f>
        <v>0</v>
      </c>
      <c r="I30" s="8">
        <f>COUNTIFS('Auditorías Riesgos 2019-2023'!B:B,$I$5,'Auditorías Riesgos 2019-2023'!H:H,B30)</f>
        <v>3</v>
      </c>
      <c r="J30" s="14">
        <f>SUM(E30:I30)</f>
        <v>3</v>
      </c>
      <c r="K30" s="14">
        <f>IF(J30=0,"-",IF(J30&lt;&gt;0,COUNTIFS('Auditorías Riesgos 2019-2023'!H:H,B30,'Auditorías Riesgos 2019-2023'!L:L,"SI")))</f>
        <v>0</v>
      </c>
      <c r="L30" s="141">
        <f t="shared" si="0"/>
        <v>0</v>
      </c>
      <c r="M30" s="14">
        <f>IF(J30=0,"-",IF(J30&lt;&gt;0,SUMIF('Auditorías Riesgos 2019-2023'!H:H,B30,'Auditorías Riesgos 2019-2023'!K:K)))</f>
        <v>18</v>
      </c>
      <c r="N30" s="14">
        <f>IF(J30=0,"-",IF(J30&lt;&gt;0,SUMIF('Auditorías Riesgos 2019-2023'!H:H,B30,'Auditorías Riesgos 2019-2023'!O:O)))</f>
        <v>0</v>
      </c>
      <c r="O30" s="14">
        <f>IF(J30=0,"-",IF(J30&lt;&gt;0,SUMIF('Auditorías Riesgos 2019-2023'!H:H,B30,'Auditorías Riesgos 2019-2023'!P:P)))</f>
        <v>0</v>
      </c>
      <c r="P30" s="141" t="str">
        <f t="shared" si="1"/>
        <v>-</v>
      </c>
      <c r="Q30" s="14">
        <f>IF(J30=0,"-",IF(J30&lt;&gt;0,SUMIF('Auditorías Riesgos 2019-2023'!H:H,B30,'Auditorías Riesgos 2019-2023'!Q:Q)))</f>
        <v>0</v>
      </c>
      <c r="R30" s="141" t="str">
        <f t="shared" si="2"/>
        <v>-</v>
      </c>
      <c r="S30" s="14">
        <f>IF(J30=0,"-",IF(J30&lt;&gt;0,SUMIF('Auditorías Riesgos 2019-2023'!H:H,B30,'Auditorías Riesgos 2019-2023'!R:R)))</f>
        <v>0</v>
      </c>
      <c r="T30" s="141" t="str">
        <f t="shared" si="3"/>
        <v>-</v>
      </c>
      <c r="U30" s="14">
        <f>IF(J30=0,"-",IF(J30&lt;&gt;0,SUMIF('Auditorías Riesgos 2019-2023'!H:H,B30,'Auditorías Riesgos 2019-2023'!S:S)))</f>
        <v>0</v>
      </c>
      <c r="V30" s="14">
        <f t="shared" si="6"/>
        <v>0</v>
      </c>
      <c r="W30" s="14">
        <f>IF(J30=0,"-",IF(J30&lt;&gt;0,SUMIF('Auditorías Riesgos 2019-2023'!H:H,B30,'Auditorías Riesgos 2019-2023'!T:T)))</f>
        <v>0</v>
      </c>
      <c r="X30" s="141">
        <f t="shared" si="4"/>
        <v>0</v>
      </c>
    </row>
    <row r="31" spans="2:24" ht="21" customHeight="1">
      <c r="B31" s="19" t="s">
        <v>152</v>
      </c>
      <c r="C31" s="108"/>
      <c r="D31" s="109"/>
      <c r="E31" s="8">
        <f>COUNTIFS('Auditorías Riesgos 2019-2023'!B:B,$E$5,'Auditorías Riesgos 2019-2023'!H:H,B31)</f>
        <v>0</v>
      </c>
      <c r="F31" s="8">
        <f>COUNTIFS('Auditorías Riesgos 2019-2023'!B:B,$F$5,'Auditorías Riesgos 2019-2023'!H:H,B31)</f>
        <v>0</v>
      </c>
      <c r="G31" s="8">
        <f>COUNTIFS('Auditorías Riesgos 2019-2023'!B:B,$G$5,'Auditorías Riesgos 2019-2023'!H:H,B31)</f>
        <v>0</v>
      </c>
      <c r="H31" s="8">
        <f>COUNTIFS('Auditorías Riesgos 2019-2023'!B:B,$H$5,'Auditorías Riesgos 2019-2023'!H:H,B31)</f>
        <v>1</v>
      </c>
      <c r="I31" s="8">
        <f>COUNTIFS('Auditorías Riesgos 2019-2023'!B:B,$I$5,'Auditorías Riesgos 2019-2023'!H:H,B31)</f>
        <v>0</v>
      </c>
      <c r="J31" s="14">
        <f>SUM(E31:I31)</f>
        <v>1</v>
      </c>
      <c r="K31" s="14">
        <f>IF(J31=0,"-",IF(J31&lt;&gt;0,COUNTIFS('Auditorías Riesgos 2019-2023'!H:H,B31,'Auditorías Riesgos 2019-2023'!L:L,"SI")))</f>
        <v>0</v>
      </c>
      <c r="L31" s="141">
        <f t="shared" si="0"/>
        <v>0</v>
      </c>
      <c r="M31" s="14">
        <f>IF(J31=0,"-",IF(J31&lt;&gt;0,SUMIF('Auditorías Riesgos 2019-2023'!H:H,B31,'Auditorías Riesgos 2019-2023'!K:K)))</f>
        <v>5</v>
      </c>
      <c r="N31" s="14">
        <f>IF(J31=0,"-",IF(J31&lt;&gt;0,SUMIF('Auditorías Riesgos 2019-2023'!H:H,B31,'Auditorías Riesgos 2019-2023'!O:O)))</f>
        <v>0</v>
      </c>
      <c r="O31" s="14">
        <f>IF(J31=0,"-",IF(J31&lt;&gt;0,SUMIF('Auditorías Riesgos 2019-2023'!H:H,B31,'Auditorías Riesgos 2019-2023'!P:P)))</f>
        <v>0</v>
      </c>
      <c r="P31" s="141" t="str">
        <f t="shared" si="1"/>
        <v>-</v>
      </c>
      <c r="Q31" s="14">
        <f>IF(J31=0,"-",IF(J31&lt;&gt;0,SUMIF('Auditorías Riesgos 2019-2023'!H:H,B31,'Auditorías Riesgos 2019-2023'!Q:Q)))</f>
        <v>0</v>
      </c>
      <c r="R31" s="141" t="str">
        <f t="shared" si="2"/>
        <v>-</v>
      </c>
      <c r="S31" s="14">
        <f>IF(J31=0,"-",IF(J31&lt;&gt;0,SUMIF('Auditorías Riesgos 2019-2023'!H:H,B31,'Auditorías Riesgos 2019-2023'!R:R)))</f>
        <v>0</v>
      </c>
      <c r="T31" s="141" t="str">
        <f t="shared" si="3"/>
        <v>-</v>
      </c>
      <c r="U31" s="14">
        <f>IF(J31=0,"-",IF(J31&lt;&gt;0,SUMIF('Auditorías Riesgos 2019-2023'!H:H,B31,'Auditorías Riesgos 2019-2023'!S:S)))</f>
        <v>0</v>
      </c>
      <c r="V31" s="14">
        <f t="shared" si="6"/>
        <v>0</v>
      </c>
      <c r="W31" s="14">
        <f>IF(J31=0,"-",IF(J31&lt;&gt;0,SUMIF('Auditorías Riesgos 2019-2023'!H:H,B31,'Auditorías Riesgos 2019-2023'!T:T)))</f>
        <v>0</v>
      </c>
      <c r="X31" s="141">
        <f t="shared" si="4"/>
        <v>0</v>
      </c>
    </row>
    <row r="32" spans="2:24" ht="24" customHeight="1">
      <c r="B32" s="80" t="s">
        <v>201</v>
      </c>
      <c r="C32" s="110"/>
      <c r="D32" s="111"/>
      <c r="E32" s="78">
        <f>SUM(E6:E31)</f>
        <v>13</v>
      </c>
      <c r="F32" s="78">
        <f t="shared" ref="F32:W32" si="8">SUM(F6:F31)</f>
        <v>16</v>
      </c>
      <c r="G32" s="78">
        <f t="shared" si="8"/>
        <v>20</v>
      </c>
      <c r="H32" s="78">
        <f t="shared" si="8"/>
        <v>13</v>
      </c>
      <c r="I32" s="78">
        <f t="shared" si="8"/>
        <v>23</v>
      </c>
      <c r="J32" s="78">
        <f>SUM(J6:J31)</f>
        <v>85</v>
      </c>
      <c r="K32" s="78">
        <f>SUM(K6:K31)</f>
        <v>40</v>
      </c>
      <c r="L32" s="79">
        <f t="shared" si="0"/>
        <v>0.47058823529411764</v>
      </c>
      <c r="M32" s="78">
        <f>SUM(M6:M31)</f>
        <v>405</v>
      </c>
      <c r="N32" s="78">
        <f t="shared" si="8"/>
        <v>355</v>
      </c>
      <c r="O32" s="78">
        <f t="shared" si="8"/>
        <v>72</v>
      </c>
      <c r="P32" s="79">
        <f t="shared" si="1"/>
        <v>0.29508196721311475</v>
      </c>
      <c r="Q32" s="78">
        <f t="shared" si="8"/>
        <v>77</v>
      </c>
      <c r="R32" s="79">
        <f t="shared" si="2"/>
        <v>0.3155737704918033</v>
      </c>
      <c r="S32" s="78">
        <f t="shared" si="8"/>
        <v>95</v>
      </c>
      <c r="T32" s="79">
        <f t="shared" si="3"/>
        <v>0.38934426229508196</v>
      </c>
      <c r="U32" s="78">
        <f>SUM(U6:U31)</f>
        <v>111</v>
      </c>
      <c r="V32" s="78">
        <f t="shared" si="8"/>
        <v>244</v>
      </c>
      <c r="W32" s="78">
        <f t="shared" si="8"/>
        <v>41</v>
      </c>
      <c r="X32" s="79">
        <f t="shared" si="4"/>
        <v>0.10123456790123457</v>
      </c>
    </row>
  </sheetData>
  <sheetProtection sheet="1" objects="1" scenarios="1"/>
  <mergeCells count="11">
    <mergeCell ref="O4:P4"/>
    <mergeCell ref="B4:D5"/>
    <mergeCell ref="E4:J4"/>
    <mergeCell ref="K4:L4"/>
    <mergeCell ref="M4:M5"/>
    <mergeCell ref="N4:N5"/>
    <mergeCell ref="Q4:R4"/>
    <mergeCell ref="S4:T4"/>
    <mergeCell ref="U4:U5"/>
    <mergeCell ref="V4:V5"/>
    <mergeCell ref="W4:X4"/>
  </mergeCells>
  <conditionalFormatting sqref="E6:I31">
    <cfRule type="cellIs" dxfId="0" priority="3" operator="equal">
      <formula>0</formula>
    </cfRule>
  </conditionalFormatting>
  <conditionalFormatting sqref="L6:L31">
    <cfRule type="iconSet" priority="2">
      <iconSet>
        <cfvo type="percent" val="0"/>
        <cfvo type="num" val="0.9"/>
        <cfvo type="num" val="0.95"/>
      </iconSet>
    </cfRule>
  </conditionalFormatting>
  <conditionalFormatting sqref="X6:X31">
    <cfRule type="iconSet" priority="1">
      <iconSet>
        <cfvo type="percent" val="0"/>
        <cfvo type="num" val="0.9"/>
        <cfvo type="num" val="0.95"/>
      </iconSet>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I230"/>
  <sheetViews>
    <sheetView showGridLines="0" zoomScale="70" zoomScaleNormal="70" workbookViewId="0">
      <pane xSplit="9" ySplit="4" topLeftCell="J80" activePane="bottomRight" state="frozen"/>
      <selection pane="topRight" activeCell="J1" sqref="J1"/>
      <selection pane="bottomLeft" activeCell="A5" sqref="A5"/>
      <selection pane="bottomRight" activeCell="C92" sqref="C92"/>
    </sheetView>
  </sheetViews>
  <sheetFormatPr baseColWidth="10" defaultColWidth="11.44140625" defaultRowHeight="13.8" outlineLevelCol="1"/>
  <cols>
    <col min="1" max="1" width="1.88671875" style="58" customWidth="1"/>
    <col min="2" max="2" width="14" style="55" customWidth="1"/>
    <col min="3" max="3" width="90.6640625" style="55" customWidth="1"/>
    <col min="4" max="5" width="60.6640625" style="58" hidden="1" customWidth="1" outlineLevel="1"/>
    <col min="6" max="6" width="34.6640625" style="58" customWidth="1" collapsed="1"/>
    <col min="7" max="8" width="34.6640625" style="58" customWidth="1"/>
    <col min="9" max="9" width="19.109375" style="55" customWidth="1"/>
    <col min="10" max="10" width="1" style="55" customWidth="1"/>
    <col min="11" max="11" width="21.44140625" style="56" customWidth="1" collapsed="1"/>
    <col min="12" max="12" width="19.109375" style="58" customWidth="1"/>
    <col min="13" max="14" width="19.109375" style="56" customWidth="1"/>
    <col min="15" max="15" width="18.6640625" style="88" customWidth="1"/>
    <col min="16" max="19" width="16.88671875" style="87" customWidth="1"/>
    <col min="20" max="20" width="21.44140625" style="88" customWidth="1"/>
    <col min="21" max="23" width="19.109375" style="58" customWidth="1"/>
    <col min="24" max="24" width="22.6640625" style="58" customWidth="1"/>
    <col min="25" max="25" width="11.44140625" style="58"/>
    <col min="26" max="26" width="0" style="29" hidden="1" customWidth="1"/>
    <col min="27" max="27" width="12.33203125" style="29" hidden="1" customWidth="1"/>
    <col min="28" max="29" width="0" style="29" hidden="1" customWidth="1"/>
    <col min="30" max="30" width="14" style="29" hidden="1" customWidth="1"/>
    <col min="31" max="34" width="0" style="29" hidden="1" customWidth="1"/>
    <col min="35" max="35" width="0" style="58" hidden="1" customWidth="1"/>
    <col min="36" max="16384" width="11.44140625" style="58"/>
  </cols>
  <sheetData>
    <row r="1" spans="2:35" s="56" customFormat="1">
      <c r="B1" s="52"/>
      <c r="C1" s="52"/>
      <c r="I1" s="52"/>
      <c r="J1" s="52"/>
      <c r="Z1" s="27"/>
      <c r="AA1" s="27"/>
      <c r="AB1" s="27"/>
      <c r="AC1" s="27"/>
      <c r="AD1" s="27"/>
      <c r="AE1" s="27"/>
      <c r="AF1" s="27"/>
      <c r="AG1" s="27"/>
      <c r="AH1" s="27"/>
    </row>
    <row r="2" spans="2:35" s="56" customFormat="1" ht="20.399999999999999">
      <c r="B2" s="66" t="s">
        <v>351</v>
      </c>
      <c r="C2" s="53"/>
      <c r="D2" s="57"/>
      <c r="E2" s="57"/>
      <c r="F2" s="57"/>
      <c r="G2" s="57"/>
      <c r="H2" s="57"/>
      <c r="I2" s="53"/>
      <c r="J2" s="53"/>
      <c r="K2" s="77">
        <v>2</v>
      </c>
      <c r="L2" s="77">
        <v>5</v>
      </c>
      <c r="M2" s="77">
        <v>6</v>
      </c>
      <c r="N2" s="77">
        <v>4</v>
      </c>
      <c r="O2" s="77">
        <v>7</v>
      </c>
      <c r="P2" s="77">
        <v>8</v>
      </c>
      <c r="Q2" s="77">
        <v>9</v>
      </c>
      <c r="R2" s="77">
        <v>10</v>
      </c>
      <c r="S2" s="77">
        <v>11</v>
      </c>
      <c r="T2" s="77">
        <v>3</v>
      </c>
      <c r="U2" s="52"/>
      <c r="V2" s="52"/>
      <c r="W2" s="52"/>
      <c r="X2" s="52"/>
      <c r="Z2" s="27"/>
      <c r="AA2" s="27"/>
      <c r="AB2" s="27"/>
      <c r="AC2" s="27"/>
      <c r="AD2" s="27"/>
      <c r="AE2" s="27"/>
      <c r="AF2" s="27"/>
      <c r="AG2" s="27"/>
      <c r="AH2" s="27"/>
    </row>
    <row r="3" spans="2:35" s="112" customFormat="1">
      <c r="B3" s="77"/>
      <c r="C3" s="77"/>
      <c r="E3" s="77" t="s">
        <v>311</v>
      </c>
      <c r="I3" s="77"/>
      <c r="J3" s="113"/>
      <c r="K3" s="77" t="s">
        <v>297</v>
      </c>
      <c r="L3" s="77" t="s">
        <v>300</v>
      </c>
      <c r="M3" s="77" t="s">
        <v>301</v>
      </c>
      <c r="N3" s="77" t="s">
        <v>299</v>
      </c>
      <c r="O3" s="77" t="s">
        <v>302</v>
      </c>
      <c r="P3" s="77" t="s">
        <v>303</v>
      </c>
      <c r="Q3" s="77" t="s">
        <v>304</v>
      </c>
      <c r="R3" s="77" t="s">
        <v>305</v>
      </c>
      <c r="S3" s="77" t="s">
        <v>306</v>
      </c>
      <c r="T3" s="77" t="s">
        <v>298</v>
      </c>
      <c r="U3" s="77" t="s">
        <v>307</v>
      </c>
      <c r="V3" s="77" t="s">
        <v>308</v>
      </c>
      <c r="W3" s="77" t="s">
        <v>309</v>
      </c>
      <c r="X3" s="77" t="s">
        <v>310</v>
      </c>
      <c r="Z3" s="114"/>
      <c r="AA3" s="114"/>
      <c r="AB3" s="114"/>
      <c r="AC3" s="114"/>
      <c r="AD3" s="114"/>
      <c r="AE3" s="114"/>
      <c r="AF3" s="114"/>
      <c r="AG3" s="114"/>
      <c r="AH3" s="114"/>
    </row>
    <row r="4" spans="2:35" ht="57.75" customHeight="1">
      <c r="B4" s="51" t="s">
        <v>0</v>
      </c>
      <c r="C4" s="51" t="s">
        <v>1</v>
      </c>
      <c r="D4" s="51" t="s">
        <v>2</v>
      </c>
      <c r="E4" s="51" t="s">
        <v>333</v>
      </c>
      <c r="F4" s="51" t="s">
        <v>3</v>
      </c>
      <c r="G4" s="51" t="s">
        <v>4</v>
      </c>
      <c r="H4" s="51" t="s">
        <v>5</v>
      </c>
      <c r="I4" s="51" t="s">
        <v>349</v>
      </c>
      <c r="J4" s="53"/>
      <c r="K4" s="59" t="s">
        <v>189</v>
      </c>
      <c r="L4" s="59" t="s">
        <v>188</v>
      </c>
      <c r="M4" s="59" t="s">
        <v>335</v>
      </c>
      <c r="N4" s="59" t="s">
        <v>334</v>
      </c>
      <c r="O4" s="59" t="s">
        <v>196</v>
      </c>
      <c r="P4" s="128" t="s">
        <v>322</v>
      </c>
      <c r="Q4" s="60" t="s">
        <v>320</v>
      </c>
      <c r="R4" s="61" t="s">
        <v>321</v>
      </c>
      <c r="S4" s="62" t="s">
        <v>323</v>
      </c>
      <c r="T4" s="59" t="s">
        <v>7</v>
      </c>
      <c r="U4" s="51" t="s">
        <v>319</v>
      </c>
      <c r="V4" s="51" t="s">
        <v>318</v>
      </c>
      <c r="W4" s="51" t="s">
        <v>317</v>
      </c>
      <c r="X4" s="51" t="s">
        <v>207</v>
      </c>
    </row>
    <row r="5" spans="2:35" s="29" customFormat="1" ht="33" customHeight="1">
      <c r="B5" s="50">
        <v>2019</v>
      </c>
      <c r="C5" s="49" t="s">
        <v>56</v>
      </c>
      <c r="D5" s="39" t="s">
        <v>57</v>
      </c>
      <c r="E5" s="46" t="s">
        <v>224</v>
      </c>
      <c r="F5" s="39" t="s">
        <v>34</v>
      </c>
      <c r="G5" s="39" t="s">
        <v>35</v>
      </c>
      <c r="H5" s="39" t="s">
        <v>36</v>
      </c>
      <c r="I5" s="10">
        <v>43516</v>
      </c>
      <c r="J5" s="53"/>
      <c r="K5" s="43">
        <v>9</v>
      </c>
      <c r="L5" s="47" t="s">
        <v>336</v>
      </c>
      <c r="M5" s="67">
        <v>1</v>
      </c>
      <c r="N5" s="44">
        <v>44169</v>
      </c>
      <c r="O5" s="67">
        <v>13</v>
      </c>
      <c r="P5" s="70">
        <v>1</v>
      </c>
      <c r="Q5" s="71">
        <v>7</v>
      </c>
      <c r="R5" s="71">
        <v>5</v>
      </c>
      <c r="S5" s="72">
        <v>0</v>
      </c>
      <c r="T5" s="67">
        <v>0</v>
      </c>
      <c r="U5" s="42">
        <v>7.6923076923076927E-2</v>
      </c>
      <c r="V5" s="42">
        <v>0.53846153846153844</v>
      </c>
      <c r="W5" s="42">
        <v>0.38461538461538464</v>
      </c>
      <c r="X5" s="45">
        <v>0</v>
      </c>
      <c r="AI5" s="30">
        <v>13</v>
      </c>
    </row>
    <row r="6" spans="2:35" s="29" customFormat="1" ht="33" customHeight="1">
      <c r="B6" s="74">
        <v>2019</v>
      </c>
      <c r="C6" s="49" t="s">
        <v>9</v>
      </c>
      <c r="D6" s="39" t="s">
        <v>191</v>
      </c>
      <c r="E6" s="40" t="s">
        <v>208</v>
      </c>
      <c r="F6" s="39" t="s">
        <v>10</v>
      </c>
      <c r="G6" s="41" t="s">
        <v>11</v>
      </c>
      <c r="H6" s="41" t="s">
        <v>12</v>
      </c>
      <c r="I6" s="75">
        <v>43613</v>
      </c>
      <c r="J6" s="53"/>
      <c r="K6" s="43">
        <v>4</v>
      </c>
      <c r="L6" s="47" t="s">
        <v>336</v>
      </c>
      <c r="M6" s="67">
        <v>2</v>
      </c>
      <c r="N6" s="44">
        <v>45231</v>
      </c>
      <c r="O6" s="67">
        <v>15</v>
      </c>
      <c r="P6" s="70">
        <v>11</v>
      </c>
      <c r="Q6" s="71">
        <v>1</v>
      </c>
      <c r="R6" s="71">
        <v>3</v>
      </c>
      <c r="S6" s="72">
        <v>0</v>
      </c>
      <c r="T6" s="67">
        <v>2</v>
      </c>
      <c r="U6" s="42">
        <v>0.73333333333333328</v>
      </c>
      <c r="V6" s="42">
        <v>6.6666666666666666E-2</v>
      </c>
      <c r="W6" s="42">
        <v>0.2</v>
      </c>
      <c r="X6" s="42">
        <v>0.5</v>
      </c>
      <c r="AA6" s="29" t="s">
        <v>209</v>
      </c>
      <c r="AD6" s="29" t="e">
        <v>#REF!</v>
      </c>
      <c r="AI6" s="30">
        <v>15</v>
      </c>
    </row>
    <row r="7" spans="2:35" s="29" customFormat="1" ht="33" customHeight="1">
      <c r="B7" s="50">
        <v>2019</v>
      </c>
      <c r="C7" s="49" t="s">
        <v>42</v>
      </c>
      <c r="D7" s="49" t="s">
        <v>43</v>
      </c>
      <c r="E7" s="39" t="s">
        <v>221</v>
      </c>
      <c r="F7" s="49" t="s">
        <v>44</v>
      </c>
      <c r="G7" s="39" t="s">
        <v>45</v>
      </c>
      <c r="H7" s="39" t="s">
        <v>46</v>
      </c>
      <c r="I7" s="10">
        <v>43682</v>
      </c>
      <c r="J7" s="53"/>
      <c r="K7" s="43">
        <v>3</v>
      </c>
      <c r="L7" s="47" t="s">
        <v>336</v>
      </c>
      <c r="M7" s="43">
        <v>4</v>
      </c>
      <c r="N7" s="44">
        <v>44805</v>
      </c>
      <c r="O7" s="67">
        <v>11</v>
      </c>
      <c r="P7" s="70">
        <v>10</v>
      </c>
      <c r="Q7" s="71">
        <v>0</v>
      </c>
      <c r="R7" s="71">
        <v>1</v>
      </c>
      <c r="S7" s="72">
        <v>0</v>
      </c>
      <c r="T7" s="67">
        <v>2</v>
      </c>
      <c r="U7" s="42">
        <v>0.90909090909090906</v>
      </c>
      <c r="V7" s="42">
        <v>0</v>
      </c>
      <c r="W7" s="42">
        <v>9.0909090909090912E-2</v>
      </c>
      <c r="X7" s="45">
        <v>0.66666666666666663</v>
      </c>
      <c r="AI7" s="30">
        <v>11</v>
      </c>
    </row>
    <row r="8" spans="2:35" s="29" customFormat="1" ht="33" customHeight="1">
      <c r="B8" s="50">
        <v>2019</v>
      </c>
      <c r="C8" s="49" t="s">
        <v>13</v>
      </c>
      <c r="D8" s="39" t="s">
        <v>14</v>
      </c>
      <c r="E8" s="39" t="s">
        <v>210</v>
      </c>
      <c r="F8" s="39" t="s">
        <v>15</v>
      </c>
      <c r="G8" s="39" t="s">
        <v>11</v>
      </c>
      <c r="H8" s="39" t="s">
        <v>16</v>
      </c>
      <c r="I8" s="75">
        <v>43692</v>
      </c>
      <c r="J8" s="53"/>
      <c r="K8" s="43">
        <v>6</v>
      </c>
      <c r="L8" s="6" t="s">
        <v>336</v>
      </c>
      <c r="M8" s="8">
        <v>2</v>
      </c>
      <c r="N8" s="9">
        <v>44683</v>
      </c>
      <c r="O8" s="6">
        <v>7</v>
      </c>
      <c r="P8" s="115">
        <v>3</v>
      </c>
      <c r="Q8" s="116">
        <v>2</v>
      </c>
      <c r="R8" s="116">
        <v>2</v>
      </c>
      <c r="S8" s="117">
        <v>0</v>
      </c>
      <c r="T8" s="14">
        <v>2</v>
      </c>
      <c r="U8" s="42">
        <v>0.42857142857142855</v>
      </c>
      <c r="V8" s="42">
        <v>0.2857142857142857</v>
      </c>
      <c r="W8" s="42">
        <v>0.2857142857142857</v>
      </c>
      <c r="X8" s="45">
        <v>0.33333333333333331</v>
      </c>
      <c r="AI8" s="30">
        <v>7</v>
      </c>
    </row>
    <row r="9" spans="2:35" s="29" customFormat="1" ht="33" customHeight="1">
      <c r="B9" s="50">
        <v>2019</v>
      </c>
      <c r="C9" s="49" t="s">
        <v>17</v>
      </c>
      <c r="D9" s="39" t="s">
        <v>18</v>
      </c>
      <c r="E9" s="46" t="s">
        <v>211</v>
      </c>
      <c r="F9" s="39" t="s">
        <v>15</v>
      </c>
      <c r="G9" s="39" t="s">
        <v>11</v>
      </c>
      <c r="H9" s="39" t="s">
        <v>19</v>
      </c>
      <c r="I9" s="75">
        <v>43727</v>
      </c>
      <c r="J9" s="53"/>
      <c r="K9" s="43">
        <v>7</v>
      </c>
      <c r="L9" s="6" t="s">
        <v>336</v>
      </c>
      <c r="M9" s="8">
        <v>1</v>
      </c>
      <c r="N9" s="9">
        <v>43804</v>
      </c>
      <c r="O9" s="6">
        <v>15</v>
      </c>
      <c r="P9" s="115">
        <v>0</v>
      </c>
      <c r="Q9" s="116">
        <v>1</v>
      </c>
      <c r="R9" s="116">
        <v>0</v>
      </c>
      <c r="S9" s="117">
        <v>14</v>
      </c>
      <c r="T9" s="14">
        <v>0</v>
      </c>
      <c r="U9" s="42">
        <v>0</v>
      </c>
      <c r="V9" s="42">
        <v>1</v>
      </c>
      <c r="W9" s="42">
        <v>0</v>
      </c>
      <c r="X9" s="45">
        <v>0</v>
      </c>
      <c r="AA9" s="29" t="s">
        <v>212</v>
      </c>
      <c r="AI9" s="30">
        <v>15</v>
      </c>
    </row>
    <row r="10" spans="2:35" s="29" customFormat="1" ht="33" customHeight="1">
      <c r="B10" s="50">
        <v>2019</v>
      </c>
      <c r="C10" s="49" t="s">
        <v>20</v>
      </c>
      <c r="D10" s="39" t="s">
        <v>21</v>
      </c>
      <c r="E10" s="48" t="s">
        <v>213</v>
      </c>
      <c r="F10" s="39" t="s">
        <v>15</v>
      </c>
      <c r="G10" s="39" t="s">
        <v>11</v>
      </c>
      <c r="H10" s="39" t="s">
        <v>22</v>
      </c>
      <c r="I10" s="75">
        <v>43762</v>
      </c>
      <c r="J10" s="53"/>
      <c r="K10" s="8">
        <v>8</v>
      </c>
      <c r="L10" s="6" t="s">
        <v>336</v>
      </c>
      <c r="M10" s="8">
        <v>1</v>
      </c>
      <c r="N10" s="9">
        <v>45226</v>
      </c>
      <c r="O10" s="6">
        <v>15</v>
      </c>
      <c r="P10" s="115">
        <v>0</v>
      </c>
      <c r="Q10" s="116">
        <v>0</v>
      </c>
      <c r="R10" s="116">
        <v>15</v>
      </c>
      <c r="S10" s="117">
        <v>0</v>
      </c>
      <c r="T10" s="14">
        <v>0</v>
      </c>
      <c r="U10" s="42">
        <v>0</v>
      </c>
      <c r="V10" s="42">
        <v>0</v>
      </c>
      <c r="W10" s="42">
        <v>1</v>
      </c>
      <c r="X10" s="45">
        <v>0</v>
      </c>
      <c r="AA10" s="31" t="s">
        <v>214</v>
      </c>
      <c r="AI10" s="30">
        <v>15</v>
      </c>
    </row>
    <row r="11" spans="2:35" s="29" customFormat="1" ht="33" customHeight="1">
      <c r="B11" s="50">
        <v>2019</v>
      </c>
      <c r="C11" s="49" t="s">
        <v>52</v>
      </c>
      <c r="D11" s="49" t="s">
        <v>53</v>
      </c>
      <c r="E11" s="46" t="s">
        <v>223</v>
      </c>
      <c r="F11" s="49" t="s">
        <v>10</v>
      </c>
      <c r="G11" s="39" t="s">
        <v>54</v>
      </c>
      <c r="H11" s="39" t="s">
        <v>55</v>
      </c>
      <c r="I11" s="75">
        <v>43791</v>
      </c>
      <c r="J11" s="53"/>
      <c r="K11" s="67">
        <v>4</v>
      </c>
      <c r="L11" s="69" t="s">
        <v>337</v>
      </c>
      <c r="M11" s="67" t="s">
        <v>338</v>
      </c>
      <c r="N11" s="68">
        <v>0</v>
      </c>
      <c r="O11" s="67">
        <v>0</v>
      </c>
      <c r="P11" s="70">
        <v>0</v>
      </c>
      <c r="Q11" s="71">
        <v>0</v>
      </c>
      <c r="R11" s="71">
        <v>0</v>
      </c>
      <c r="S11" s="72">
        <v>0</v>
      </c>
      <c r="T11" s="67">
        <v>0</v>
      </c>
      <c r="U11" s="42" t="s">
        <v>339</v>
      </c>
      <c r="V11" s="42" t="s">
        <v>339</v>
      </c>
      <c r="W11" s="42" t="s">
        <v>339</v>
      </c>
      <c r="X11" s="45">
        <v>0</v>
      </c>
      <c r="AI11" s="30">
        <v>0</v>
      </c>
    </row>
    <row r="12" spans="2:35" s="29" customFormat="1" ht="33" customHeight="1">
      <c r="B12" s="50">
        <v>2019</v>
      </c>
      <c r="C12" s="49" t="s">
        <v>23</v>
      </c>
      <c r="D12" s="39" t="s">
        <v>24</v>
      </c>
      <c r="E12" s="46" t="s">
        <v>215</v>
      </c>
      <c r="F12" s="39" t="s">
        <v>15</v>
      </c>
      <c r="G12" s="39" t="s">
        <v>11</v>
      </c>
      <c r="H12" s="39" t="s">
        <v>25</v>
      </c>
      <c r="I12" s="75">
        <v>43801</v>
      </c>
      <c r="J12" s="53"/>
      <c r="K12" s="8">
        <v>8</v>
      </c>
      <c r="L12" s="6" t="s">
        <v>336</v>
      </c>
      <c r="M12" s="8">
        <v>1</v>
      </c>
      <c r="N12" s="9">
        <v>45229</v>
      </c>
      <c r="O12" s="6">
        <v>8</v>
      </c>
      <c r="P12" s="115">
        <v>0</v>
      </c>
      <c r="Q12" s="116">
        <v>0</v>
      </c>
      <c r="R12" s="116">
        <v>8</v>
      </c>
      <c r="S12" s="117">
        <v>0</v>
      </c>
      <c r="T12" s="14">
        <v>0</v>
      </c>
      <c r="U12" s="42">
        <v>0</v>
      </c>
      <c r="V12" s="42">
        <v>0</v>
      </c>
      <c r="W12" s="42">
        <v>1</v>
      </c>
      <c r="X12" s="45">
        <v>0</v>
      </c>
      <c r="AA12" s="29">
        <v>1</v>
      </c>
      <c r="AB12" s="29">
        <v>1</v>
      </c>
      <c r="AC12" s="29">
        <v>1</v>
      </c>
      <c r="AD12" s="32" t="e">
        <v>#REF!</v>
      </c>
      <c r="AI12" s="30">
        <v>8</v>
      </c>
    </row>
    <row r="13" spans="2:35" s="29" customFormat="1" ht="33" customHeight="1">
      <c r="B13" s="50">
        <v>2019</v>
      </c>
      <c r="C13" s="49" t="s">
        <v>32</v>
      </c>
      <c r="D13" s="39" t="s">
        <v>33</v>
      </c>
      <c r="E13" s="46" t="s">
        <v>219</v>
      </c>
      <c r="F13" s="39" t="s">
        <v>34</v>
      </c>
      <c r="G13" s="39" t="s">
        <v>35</v>
      </c>
      <c r="H13" s="39" t="s">
        <v>36</v>
      </c>
      <c r="I13" s="10">
        <v>43810</v>
      </c>
      <c r="J13" s="53"/>
      <c r="K13" s="43">
        <v>15</v>
      </c>
      <c r="L13" s="47" t="s">
        <v>337</v>
      </c>
      <c r="M13" s="67" t="s">
        <v>338</v>
      </c>
      <c r="N13" s="44">
        <v>0</v>
      </c>
      <c r="O13" s="67">
        <v>0</v>
      </c>
      <c r="P13" s="70">
        <v>0</v>
      </c>
      <c r="Q13" s="71">
        <v>0</v>
      </c>
      <c r="R13" s="71">
        <v>0</v>
      </c>
      <c r="S13" s="72">
        <v>0</v>
      </c>
      <c r="T13" s="67">
        <v>0</v>
      </c>
      <c r="U13" s="42" t="s">
        <v>339</v>
      </c>
      <c r="V13" s="42" t="s">
        <v>339</v>
      </c>
      <c r="W13" s="42" t="s">
        <v>339</v>
      </c>
      <c r="X13" s="45">
        <v>0</v>
      </c>
      <c r="AA13" s="29">
        <v>1</v>
      </c>
      <c r="AB13" s="29">
        <v>1</v>
      </c>
      <c r="AC13" s="29">
        <v>1</v>
      </c>
      <c r="AD13" s="32" t="e">
        <v>#REF!</v>
      </c>
      <c r="AI13" s="30">
        <v>0</v>
      </c>
    </row>
    <row r="14" spans="2:35" s="29" customFormat="1" ht="33" customHeight="1">
      <c r="B14" s="50">
        <v>2019</v>
      </c>
      <c r="C14" s="49" t="s">
        <v>37</v>
      </c>
      <c r="D14" s="39" t="s">
        <v>38</v>
      </c>
      <c r="E14" s="46" t="s">
        <v>220</v>
      </c>
      <c r="F14" s="39" t="s">
        <v>39</v>
      </c>
      <c r="G14" s="39" t="s">
        <v>40</v>
      </c>
      <c r="H14" s="39" t="s">
        <v>41</v>
      </c>
      <c r="I14" s="10">
        <v>43811</v>
      </c>
      <c r="J14" s="53"/>
      <c r="K14" s="43">
        <v>4</v>
      </c>
      <c r="L14" s="47" t="s">
        <v>336</v>
      </c>
      <c r="M14" s="43">
        <v>1</v>
      </c>
      <c r="N14" s="44">
        <v>44019</v>
      </c>
      <c r="O14" s="67">
        <v>4</v>
      </c>
      <c r="P14" s="70">
        <v>0</v>
      </c>
      <c r="Q14" s="71">
        <v>3</v>
      </c>
      <c r="R14" s="71">
        <v>1</v>
      </c>
      <c r="S14" s="72">
        <v>0</v>
      </c>
      <c r="T14" s="67">
        <v>0</v>
      </c>
      <c r="U14" s="42">
        <v>0</v>
      </c>
      <c r="V14" s="42">
        <v>0.75</v>
      </c>
      <c r="W14" s="42">
        <v>0.25</v>
      </c>
      <c r="X14" s="45">
        <v>0</v>
      </c>
      <c r="AA14" s="29" t="s">
        <v>209</v>
      </c>
      <c r="AD14" s="29" t="e">
        <v>#REF!</v>
      </c>
      <c r="AI14" s="30">
        <v>4</v>
      </c>
    </row>
    <row r="15" spans="2:35" s="29" customFormat="1" ht="33" customHeight="1">
      <c r="B15" s="50">
        <v>2019</v>
      </c>
      <c r="C15" s="49" t="s">
        <v>47</v>
      </c>
      <c r="D15" s="49" t="s">
        <v>48</v>
      </c>
      <c r="E15" s="46" t="s">
        <v>222</v>
      </c>
      <c r="F15" s="49" t="s">
        <v>49</v>
      </c>
      <c r="G15" s="39" t="s">
        <v>50</v>
      </c>
      <c r="H15" s="39" t="s">
        <v>51</v>
      </c>
      <c r="I15" s="75">
        <v>43811</v>
      </c>
      <c r="J15" s="53"/>
      <c r="K15" s="43">
        <v>7</v>
      </c>
      <c r="L15" s="47" t="s">
        <v>336</v>
      </c>
      <c r="M15" s="67">
        <v>3</v>
      </c>
      <c r="N15" s="68">
        <v>45260</v>
      </c>
      <c r="O15" s="67">
        <v>16</v>
      </c>
      <c r="P15" s="70">
        <v>5</v>
      </c>
      <c r="Q15" s="71">
        <v>6</v>
      </c>
      <c r="R15" s="71">
        <v>5</v>
      </c>
      <c r="S15" s="72">
        <v>0</v>
      </c>
      <c r="T15" s="67">
        <v>2</v>
      </c>
      <c r="U15" s="42">
        <v>0.3125</v>
      </c>
      <c r="V15" s="42">
        <v>0.375</v>
      </c>
      <c r="W15" s="42">
        <v>0.3125</v>
      </c>
      <c r="X15" s="45">
        <v>0.2857142857142857</v>
      </c>
      <c r="AA15" s="29" t="s">
        <v>209</v>
      </c>
      <c r="AD15" s="29" t="e">
        <v>#REF!</v>
      </c>
      <c r="AI15" s="30">
        <v>16</v>
      </c>
    </row>
    <row r="16" spans="2:35" ht="33" customHeight="1">
      <c r="B16" s="50">
        <v>2019</v>
      </c>
      <c r="C16" s="49" t="s">
        <v>26</v>
      </c>
      <c r="D16" s="39" t="s">
        <v>27</v>
      </c>
      <c r="E16" s="39" t="s">
        <v>216</v>
      </c>
      <c r="F16" s="39" t="s">
        <v>15</v>
      </c>
      <c r="G16" s="39" t="s">
        <v>11</v>
      </c>
      <c r="H16" s="39" t="s">
        <v>28</v>
      </c>
      <c r="I16" s="75">
        <v>43818</v>
      </c>
      <c r="J16" s="53"/>
      <c r="K16" s="8">
        <v>6</v>
      </c>
      <c r="L16" s="6" t="s">
        <v>336</v>
      </c>
      <c r="M16" s="8">
        <v>3</v>
      </c>
      <c r="N16" s="9">
        <v>45232</v>
      </c>
      <c r="O16" s="6">
        <v>6</v>
      </c>
      <c r="P16" s="115">
        <v>4</v>
      </c>
      <c r="Q16" s="116">
        <v>1</v>
      </c>
      <c r="R16" s="116">
        <v>1</v>
      </c>
      <c r="S16" s="117">
        <v>0</v>
      </c>
      <c r="T16" s="14">
        <v>4</v>
      </c>
      <c r="U16" s="42">
        <v>0.66666666666666663</v>
      </c>
      <c r="V16" s="42">
        <v>0.16666666666666666</v>
      </c>
      <c r="W16" s="42">
        <v>0.16666666666666666</v>
      </c>
      <c r="X16" s="45">
        <v>0.66666666666666663</v>
      </c>
      <c r="Z16" s="29" t="e">
        <v>#VALUE!</v>
      </c>
      <c r="AA16" s="29" t="e">
        <v>#VALUE!</v>
      </c>
      <c r="AB16" s="29">
        <v>0</v>
      </c>
      <c r="AE16" s="33" t="s">
        <v>217</v>
      </c>
      <c r="AI16" s="55">
        <v>6</v>
      </c>
    </row>
    <row r="17" spans="2:35" s="29" customFormat="1" ht="33" customHeight="1">
      <c r="B17" s="50">
        <v>2019</v>
      </c>
      <c r="C17" s="49" t="s">
        <v>29</v>
      </c>
      <c r="D17" s="39" t="s">
        <v>30</v>
      </c>
      <c r="E17" s="48" t="s">
        <v>218</v>
      </c>
      <c r="F17" s="39" t="s">
        <v>15</v>
      </c>
      <c r="G17" s="39" t="s">
        <v>11</v>
      </c>
      <c r="H17" s="39" t="s">
        <v>31</v>
      </c>
      <c r="I17" s="75">
        <v>43818</v>
      </c>
      <c r="J17" s="53"/>
      <c r="K17" s="8">
        <v>6</v>
      </c>
      <c r="L17" s="6" t="s">
        <v>336</v>
      </c>
      <c r="M17" s="8">
        <v>1</v>
      </c>
      <c r="N17" s="9">
        <v>45237</v>
      </c>
      <c r="O17" s="6">
        <v>8</v>
      </c>
      <c r="P17" s="115">
        <v>0</v>
      </c>
      <c r="Q17" s="116">
        <v>1</v>
      </c>
      <c r="R17" s="116">
        <v>7</v>
      </c>
      <c r="S17" s="117">
        <v>0</v>
      </c>
      <c r="T17" s="14">
        <v>0</v>
      </c>
      <c r="U17" s="42">
        <v>0</v>
      </c>
      <c r="V17" s="42">
        <v>0.125</v>
      </c>
      <c r="W17" s="42">
        <v>0.875</v>
      </c>
      <c r="X17" s="45">
        <v>0</v>
      </c>
      <c r="AB17" s="29">
        <v>0</v>
      </c>
      <c r="AI17" s="30">
        <v>8</v>
      </c>
    </row>
    <row r="18" spans="2:35" s="29" customFormat="1" ht="33" customHeight="1">
      <c r="B18" s="50">
        <v>2020</v>
      </c>
      <c r="C18" s="49" t="s">
        <v>13</v>
      </c>
      <c r="D18" s="39" t="s">
        <v>60</v>
      </c>
      <c r="E18" s="39" t="s">
        <v>226</v>
      </c>
      <c r="F18" s="39" t="s">
        <v>15</v>
      </c>
      <c r="G18" s="39" t="s">
        <v>11</v>
      </c>
      <c r="H18" s="39" t="s">
        <v>16</v>
      </c>
      <c r="I18" s="75">
        <v>43927</v>
      </c>
      <c r="J18" s="53"/>
      <c r="K18" s="43">
        <v>7</v>
      </c>
      <c r="L18" s="6" t="s">
        <v>336</v>
      </c>
      <c r="M18" s="8">
        <v>1</v>
      </c>
      <c r="N18" s="9">
        <v>44748</v>
      </c>
      <c r="O18" s="6">
        <v>6</v>
      </c>
      <c r="P18" s="115">
        <v>2</v>
      </c>
      <c r="Q18" s="116">
        <v>3</v>
      </c>
      <c r="R18" s="116">
        <v>1</v>
      </c>
      <c r="S18" s="117">
        <v>0</v>
      </c>
      <c r="T18" s="14">
        <v>2</v>
      </c>
      <c r="U18" s="42">
        <v>0.33333333333333331</v>
      </c>
      <c r="V18" s="42">
        <v>0.5</v>
      </c>
      <c r="W18" s="42">
        <v>0.16666666666666666</v>
      </c>
      <c r="X18" s="45">
        <v>0.2857142857142857</v>
      </c>
      <c r="AB18" s="29">
        <v>0</v>
      </c>
      <c r="AI18" s="30">
        <v>6</v>
      </c>
    </row>
    <row r="19" spans="2:35" s="29" customFormat="1" ht="33" customHeight="1">
      <c r="B19" s="50">
        <v>2020</v>
      </c>
      <c r="C19" s="49" t="s">
        <v>58</v>
      </c>
      <c r="D19" s="39" t="s">
        <v>59</v>
      </c>
      <c r="E19" s="46" t="s">
        <v>225</v>
      </c>
      <c r="F19" s="39" t="s">
        <v>34</v>
      </c>
      <c r="G19" s="39" t="s">
        <v>40</v>
      </c>
      <c r="H19" s="39" t="s">
        <v>41</v>
      </c>
      <c r="I19" s="10">
        <v>43971</v>
      </c>
      <c r="J19" s="53"/>
      <c r="K19" s="43">
        <v>10</v>
      </c>
      <c r="L19" s="47" t="s">
        <v>337</v>
      </c>
      <c r="M19" s="43" t="s">
        <v>338</v>
      </c>
      <c r="N19" s="44">
        <v>0</v>
      </c>
      <c r="O19" s="67">
        <v>0</v>
      </c>
      <c r="P19" s="70">
        <v>0</v>
      </c>
      <c r="Q19" s="71">
        <v>0</v>
      </c>
      <c r="R19" s="71">
        <v>0</v>
      </c>
      <c r="S19" s="72">
        <v>0</v>
      </c>
      <c r="T19" s="67">
        <v>0</v>
      </c>
      <c r="U19" s="42" t="s">
        <v>339</v>
      </c>
      <c r="V19" s="42" t="s">
        <v>339</v>
      </c>
      <c r="W19" s="42" t="s">
        <v>339</v>
      </c>
      <c r="X19" s="45">
        <v>0</v>
      </c>
      <c r="AA19" s="34" t="e">
        <v>#VALUE!</v>
      </c>
      <c r="AI19" s="30">
        <v>0</v>
      </c>
    </row>
    <row r="20" spans="2:35" s="29" customFormat="1" ht="33" customHeight="1">
      <c r="B20" s="50">
        <v>2020</v>
      </c>
      <c r="C20" s="49" t="s">
        <v>61</v>
      </c>
      <c r="D20" s="49" t="s">
        <v>62</v>
      </c>
      <c r="E20" s="46" t="s">
        <v>227</v>
      </c>
      <c r="F20" s="49" t="s">
        <v>63</v>
      </c>
      <c r="G20" s="39" t="s">
        <v>40</v>
      </c>
      <c r="H20" s="39" t="s">
        <v>41</v>
      </c>
      <c r="I20" s="10">
        <v>44014</v>
      </c>
      <c r="J20" s="53"/>
      <c r="K20" s="43">
        <v>4</v>
      </c>
      <c r="L20" s="47" t="s">
        <v>337</v>
      </c>
      <c r="M20" s="43" t="s">
        <v>338</v>
      </c>
      <c r="N20" s="44">
        <v>0</v>
      </c>
      <c r="O20" s="67">
        <v>0</v>
      </c>
      <c r="P20" s="70">
        <v>0</v>
      </c>
      <c r="Q20" s="71">
        <v>0</v>
      </c>
      <c r="R20" s="71">
        <v>0</v>
      </c>
      <c r="S20" s="72">
        <v>0</v>
      </c>
      <c r="T20" s="67">
        <v>0</v>
      </c>
      <c r="U20" s="42" t="s">
        <v>339</v>
      </c>
      <c r="V20" s="42" t="s">
        <v>339</v>
      </c>
      <c r="W20" s="42" t="s">
        <v>339</v>
      </c>
      <c r="X20" s="45">
        <v>0</v>
      </c>
      <c r="AI20" s="30">
        <v>0</v>
      </c>
    </row>
    <row r="21" spans="2:35" s="29" customFormat="1" ht="33" customHeight="1">
      <c r="B21" s="50">
        <v>2020</v>
      </c>
      <c r="C21" s="49" t="s">
        <v>68</v>
      </c>
      <c r="D21" s="49" t="s">
        <v>69</v>
      </c>
      <c r="E21" s="39" t="s">
        <v>229</v>
      </c>
      <c r="F21" s="49" t="s">
        <v>70</v>
      </c>
      <c r="G21" s="39" t="s">
        <v>11</v>
      </c>
      <c r="H21" s="39" t="s">
        <v>71</v>
      </c>
      <c r="I21" s="75">
        <v>44028</v>
      </c>
      <c r="J21" s="53"/>
      <c r="K21" s="8">
        <v>4</v>
      </c>
      <c r="L21" s="6" t="s">
        <v>336</v>
      </c>
      <c r="M21" s="8">
        <v>3</v>
      </c>
      <c r="N21" s="9">
        <v>45229</v>
      </c>
      <c r="O21" s="6">
        <v>16</v>
      </c>
      <c r="P21" s="115">
        <v>6</v>
      </c>
      <c r="Q21" s="116">
        <v>9</v>
      </c>
      <c r="R21" s="116">
        <v>1</v>
      </c>
      <c r="S21" s="117">
        <v>0</v>
      </c>
      <c r="T21" s="14">
        <v>0</v>
      </c>
      <c r="U21" s="42">
        <v>0.375</v>
      </c>
      <c r="V21" s="42">
        <v>0.5625</v>
      </c>
      <c r="W21" s="42">
        <v>6.25E-2</v>
      </c>
      <c r="X21" s="45">
        <v>0</v>
      </c>
      <c r="AI21" s="30">
        <v>16</v>
      </c>
    </row>
    <row r="22" spans="2:35" s="29" customFormat="1" ht="33" customHeight="1">
      <c r="B22" s="50">
        <v>2020</v>
      </c>
      <c r="C22" s="49" t="s">
        <v>64</v>
      </c>
      <c r="D22" s="49" t="s">
        <v>65</v>
      </c>
      <c r="E22" s="39" t="s">
        <v>228</v>
      </c>
      <c r="F22" s="49" t="s">
        <v>66</v>
      </c>
      <c r="G22" s="39" t="s">
        <v>82</v>
      </c>
      <c r="H22" s="39" t="s">
        <v>67</v>
      </c>
      <c r="I22" s="75">
        <v>44039</v>
      </c>
      <c r="J22" s="53"/>
      <c r="K22" s="8">
        <v>12</v>
      </c>
      <c r="L22" s="6" t="s">
        <v>336</v>
      </c>
      <c r="M22" s="8">
        <v>2</v>
      </c>
      <c r="N22" s="9">
        <v>44655</v>
      </c>
      <c r="O22" s="6">
        <v>4</v>
      </c>
      <c r="P22" s="115">
        <v>4</v>
      </c>
      <c r="Q22" s="116">
        <v>0</v>
      </c>
      <c r="R22" s="116">
        <v>0</v>
      </c>
      <c r="S22" s="117">
        <v>0</v>
      </c>
      <c r="T22" s="14">
        <v>12</v>
      </c>
      <c r="U22" s="42">
        <v>1</v>
      </c>
      <c r="V22" s="42">
        <v>0</v>
      </c>
      <c r="W22" s="42">
        <v>0</v>
      </c>
      <c r="X22" s="45">
        <v>1</v>
      </c>
    </row>
    <row r="23" spans="2:35" s="29" customFormat="1" ht="33" customHeight="1">
      <c r="B23" s="50">
        <v>2020</v>
      </c>
      <c r="C23" s="49" t="s">
        <v>72</v>
      </c>
      <c r="D23" s="49" t="s">
        <v>190</v>
      </c>
      <c r="E23" s="46" t="s">
        <v>241</v>
      </c>
      <c r="F23" s="49" t="s">
        <v>15</v>
      </c>
      <c r="G23" s="39" t="s">
        <v>11</v>
      </c>
      <c r="H23" s="39" t="s">
        <v>19</v>
      </c>
      <c r="I23" s="75">
        <v>44081</v>
      </c>
      <c r="J23" s="53"/>
      <c r="K23" s="43">
        <v>1</v>
      </c>
      <c r="L23" s="6" t="s">
        <v>337</v>
      </c>
      <c r="M23" s="8" t="s">
        <v>338</v>
      </c>
      <c r="N23" s="9">
        <v>0</v>
      </c>
      <c r="O23" s="6">
        <v>0</v>
      </c>
      <c r="P23" s="115">
        <v>0</v>
      </c>
      <c r="Q23" s="116">
        <v>0</v>
      </c>
      <c r="R23" s="116">
        <v>0</v>
      </c>
      <c r="S23" s="117">
        <v>0</v>
      </c>
      <c r="T23" s="14">
        <v>0</v>
      </c>
      <c r="U23" s="42" t="s">
        <v>339</v>
      </c>
      <c r="V23" s="42" t="s">
        <v>339</v>
      </c>
      <c r="W23" s="42" t="s">
        <v>339</v>
      </c>
      <c r="X23" s="45">
        <v>0</v>
      </c>
      <c r="AA23" s="29" t="e">
        <v>#REF!</v>
      </c>
      <c r="AI23" s="30">
        <v>0</v>
      </c>
    </row>
    <row r="24" spans="2:35" s="29" customFormat="1" ht="33" customHeight="1" thickBot="1">
      <c r="B24" s="50">
        <v>2020</v>
      </c>
      <c r="C24" s="49" t="s">
        <v>80</v>
      </c>
      <c r="D24" s="49" t="s">
        <v>81</v>
      </c>
      <c r="E24" s="46" t="s">
        <v>239</v>
      </c>
      <c r="F24" s="49" t="s">
        <v>34</v>
      </c>
      <c r="G24" s="39" t="s">
        <v>82</v>
      </c>
      <c r="H24" s="39" t="s">
        <v>67</v>
      </c>
      <c r="I24" s="75">
        <v>44085</v>
      </c>
      <c r="J24" s="53"/>
      <c r="K24" s="8">
        <v>12</v>
      </c>
      <c r="L24" s="6" t="s">
        <v>336</v>
      </c>
      <c r="M24" s="8">
        <v>1</v>
      </c>
      <c r="N24" s="9">
        <v>44720</v>
      </c>
      <c r="O24" s="6">
        <v>14</v>
      </c>
      <c r="P24" s="115">
        <v>0</v>
      </c>
      <c r="Q24" s="116">
        <v>5</v>
      </c>
      <c r="R24" s="116">
        <v>9</v>
      </c>
      <c r="S24" s="117">
        <v>0</v>
      </c>
      <c r="T24" s="14">
        <v>0</v>
      </c>
      <c r="U24" s="42">
        <v>0</v>
      </c>
      <c r="V24" s="42">
        <v>0.35714285714285715</v>
      </c>
      <c r="W24" s="42">
        <v>0.6428571428571429</v>
      </c>
      <c r="X24" s="45">
        <v>0</v>
      </c>
      <c r="AI24" s="30">
        <v>14</v>
      </c>
    </row>
    <row r="25" spans="2:35" s="29" customFormat="1" ht="33" customHeight="1" thickBot="1">
      <c r="B25" s="50">
        <v>2020</v>
      </c>
      <c r="C25" s="49" t="s">
        <v>29</v>
      </c>
      <c r="D25" s="49" t="s">
        <v>74</v>
      </c>
      <c r="E25" s="48" t="s">
        <v>233</v>
      </c>
      <c r="F25" s="49" t="s">
        <v>10</v>
      </c>
      <c r="G25" s="39" t="s">
        <v>11</v>
      </c>
      <c r="H25" s="39" t="s">
        <v>31</v>
      </c>
      <c r="I25" s="75">
        <v>44098</v>
      </c>
      <c r="J25" s="53"/>
      <c r="K25" s="8">
        <v>4</v>
      </c>
      <c r="L25" s="6" t="s">
        <v>337</v>
      </c>
      <c r="M25" s="8" t="s">
        <v>338</v>
      </c>
      <c r="N25" s="9">
        <v>0</v>
      </c>
      <c r="O25" s="6">
        <v>0</v>
      </c>
      <c r="P25" s="115">
        <v>0</v>
      </c>
      <c r="Q25" s="116">
        <v>0</v>
      </c>
      <c r="R25" s="116">
        <v>0</v>
      </c>
      <c r="S25" s="117">
        <v>0</v>
      </c>
      <c r="T25" s="14">
        <v>0</v>
      </c>
      <c r="U25" s="42" t="s">
        <v>339</v>
      </c>
      <c r="V25" s="42" t="s">
        <v>339</v>
      </c>
      <c r="W25" s="42" t="s">
        <v>339</v>
      </c>
      <c r="X25" s="45">
        <v>0</v>
      </c>
      <c r="AA25" s="35" t="e">
        <v>#VALUE!</v>
      </c>
      <c r="AB25" s="35" t="e">
        <v>#VALUE!</v>
      </c>
      <c r="AI25" s="30">
        <v>0</v>
      </c>
    </row>
    <row r="26" spans="2:35" s="29" customFormat="1" ht="33" customHeight="1">
      <c r="B26" s="50">
        <v>2020</v>
      </c>
      <c r="C26" s="49" t="s">
        <v>20</v>
      </c>
      <c r="D26" s="49" t="s">
        <v>75</v>
      </c>
      <c r="E26" s="48" t="s">
        <v>234</v>
      </c>
      <c r="F26" s="49" t="s">
        <v>70</v>
      </c>
      <c r="G26" s="39" t="s">
        <v>11</v>
      </c>
      <c r="H26" s="39" t="s">
        <v>22</v>
      </c>
      <c r="I26" s="75">
        <v>44124</v>
      </c>
      <c r="J26" s="53"/>
      <c r="K26" s="8">
        <v>4</v>
      </c>
      <c r="L26" s="6" t="s">
        <v>336</v>
      </c>
      <c r="M26" s="8">
        <v>2</v>
      </c>
      <c r="N26" s="9">
        <v>45226</v>
      </c>
      <c r="O26" s="6">
        <v>5</v>
      </c>
      <c r="P26" s="115">
        <v>0</v>
      </c>
      <c r="Q26" s="116">
        <v>4</v>
      </c>
      <c r="R26" s="116">
        <v>1</v>
      </c>
      <c r="S26" s="117">
        <v>0</v>
      </c>
      <c r="T26" s="14">
        <v>0</v>
      </c>
      <c r="U26" s="42">
        <v>0</v>
      </c>
      <c r="V26" s="42">
        <v>0.8</v>
      </c>
      <c r="W26" s="42">
        <v>0.2</v>
      </c>
      <c r="X26" s="45">
        <v>0</v>
      </c>
      <c r="AA26" s="36" t="s">
        <v>235</v>
      </c>
      <c r="AI26" s="30">
        <v>5</v>
      </c>
    </row>
    <row r="27" spans="2:35" s="29" customFormat="1" ht="33" customHeight="1">
      <c r="B27" s="50">
        <v>2020</v>
      </c>
      <c r="C27" s="49" t="s">
        <v>42</v>
      </c>
      <c r="D27" s="49" t="s">
        <v>77</v>
      </c>
      <c r="E27" s="39" t="s">
        <v>237</v>
      </c>
      <c r="F27" s="49" t="s">
        <v>34</v>
      </c>
      <c r="G27" s="39" t="s">
        <v>45</v>
      </c>
      <c r="H27" s="39" t="s">
        <v>46</v>
      </c>
      <c r="I27" s="10">
        <v>44124</v>
      </c>
      <c r="J27" s="53"/>
      <c r="K27" s="43">
        <v>6</v>
      </c>
      <c r="L27" s="47" t="s">
        <v>337</v>
      </c>
      <c r="M27" s="43" t="s">
        <v>338</v>
      </c>
      <c r="N27" s="44">
        <v>0</v>
      </c>
      <c r="O27" s="67">
        <v>0</v>
      </c>
      <c r="P27" s="70">
        <v>0</v>
      </c>
      <c r="Q27" s="71">
        <v>0</v>
      </c>
      <c r="R27" s="71">
        <v>0</v>
      </c>
      <c r="S27" s="72">
        <v>0</v>
      </c>
      <c r="T27" s="67">
        <v>0</v>
      </c>
      <c r="U27" s="42" t="s">
        <v>339</v>
      </c>
      <c r="V27" s="42" t="s">
        <v>339</v>
      </c>
      <c r="W27" s="42" t="s">
        <v>339</v>
      </c>
      <c r="X27" s="45">
        <v>0</v>
      </c>
      <c r="AI27" s="30">
        <v>0</v>
      </c>
    </row>
    <row r="28" spans="2:35" s="29" customFormat="1" ht="33" customHeight="1">
      <c r="B28" s="50">
        <v>2020</v>
      </c>
      <c r="C28" s="49" t="s">
        <v>78</v>
      </c>
      <c r="D28" s="49" t="s">
        <v>79</v>
      </c>
      <c r="E28" s="46" t="s">
        <v>238</v>
      </c>
      <c r="F28" s="49" t="s">
        <v>34</v>
      </c>
      <c r="G28" s="39" t="s">
        <v>45</v>
      </c>
      <c r="H28" s="39" t="s">
        <v>46</v>
      </c>
      <c r="I28" s="10">
        <v>44124</v>
      </c>
      <c r="J28" s="53"/>
      <c r="K28" s="43">
        <v>2</v>
      </c>
      <c r="L28" s="47" t="s">
        <v>337</v>
      </c>
      <c r="M28" s="43" t="s">
        <v>338</v>
      </c>
      <c r="N28" s="44">
        <v>0</v>
      </c>
      <c r="O28" s="67">
        <v>0</v>
      </c>
      <c r="P28" s="70">
        <v>0</v>
      </c>
      <c r="Q28" s="71">
        <v>0</v>
      </c>
      <c r="R28" s="71">
        <v>0</v>
      </c>
      <c r="S28" s="72">
        <v>0</v>
      </c>
      <c r="T28" s="67">
        <v>0</v>
      </c>
      <c r="U28" s="42" t="s">
        <v>339</v>
      </c>
      <c r="V28" s="42" t="s">
        <v>339</v>
      </c>
      <c r="W28" s="42" t="s">
        <v>339</v>
      </c>
      <c r="X28" s="45">
        <v>0</v>
      </c>
      <c r="AA28" s="29" t="s">
        <v>209</v>
      </c>
      <c r="AD28" s="29" t="e">
        <v>#DIV/0!</v>
      </c>
    </row>
    <row r="29" spans="2:35" s="29" customFormat="1" ht="33" customHeight="1">
      <c r="B29" s="50">
        <v>2020</v>
      </c>
      <c r="C29" s="49" t="s">
        <v>9</v>
      </c>
      <c r="D29" s="49" t="s">
        <v>76</v>
      </c>
      <c r="E29" s="46" t="s">
        <v>236</v>
      </c>
      <c r="F29" s="49" t="s">
        <v>10</v>
      </c>
      <c r="G29" s="39" t="s">
        <v>11</v>
      </c>
      <c r="H29" s="39" t="s">
        <v>12</v>
      </c>
      <c r="I29" s="75">
        <v>44133</v>
      </c>
      <c r="J29" s="53"/>
      <c r="K29" s="43">
        <v>4</v>
      </c>
      <c r="L29" s="47" t="s">
        <v>336</v>
      </c>
      <c r="M29" s="67">
        <v>1</v>
      </c>
      <c r="N29" s="44">
        <v>45231</v>
      </c>
      <c r="O29" s="67">
        <v>4</v>
      </c>
      <c r="P29" s="70">
        <v>0</v>
      </c>
      <c r="Q29" s="71">
        <v>0</v>
      </c>
      <c r="R29" s="71">
        <v>4</v>
      </c>
      <c r="S29" s="72">
        <v>0</v>
      </c>
      <c r="T29" s="67">
        <v>0</v>
      </c>
      <c r="U29" s="42">
        <v>0</v>
      </c>
      <c r="V29" s="42">
        <v>0</v>
      </c>
      <c r="W29" s="42">
        <v>1</v>
      </c>
      <c r="X29" s="45">
        <v>0</v>
      </c>
      <c r="AA29" s="34" t="e">
        <v>#VALUE!</v>
      </c>
      <c r="AI29" s="30">
        <v>4</v>
      </c>
    </row>
    <row r="30" spans="2:35" s="29" customFormat="1" ht="33" customHeight="1">
      <c r="B30" s="50">
        <v>2020</v>
      </c>
      <c r="C30" s="49" t="s">
        <v>23</v>
      </c>
      <c r="D30" s="49" t="s">
        <v>73</v>
      </c>
      <c r="E30" s="46" t="s">
        <v>232</v>
      </c>
      <c r="F30" s="49" t="s">
        <v>70</v>
      </c>
      <c r="G30" s="39" t="s">
        <v>11</v>
      </c>
      <c r="H30" s="39" t="s">
        <v>25</v>
      </c>
      <c r="I30" s="75">
        <v>44141</v>
      </c>
      <c r="J30" s="53"/>
      <c r="K30" s="8">
        <v>4</v>
      </c>
      <c r="L30" s="6" t="s">
        <v>336</v>
      </c>
      <c r="M30" s="8">
        <v>2</v>
      </c>
      <c r="N30" s="9">
        <v>45229</v>
      </c>
      <c r="O30" s="6">
        <v>5</v>
      </c>
      <c r="P30" s="115">
        <v>0</v>
      </c>
      <c r="Q30" s="116">
        <v>5</v>
      </c>
      <c r="R30" s="116">
        <v>0</v>
      </c>
      <c r="S30" s="117">
        <v>0</v>
      </c>
      <c r="T30" s="14">
        <v>0</v>
      </c>
      <c r="U30" s="42">
        <v>0</v>
      </c>
      <c r="V30" s="42">
        <v>1</v>
      </c>
      <c r="W30" s="42">
        <v>0</v>
      </c>
      <c r="X30" s="45">
        <v>0</v>
      </c>
      <c r="AI30" s="30">
        <v>5</v>
      </c>
    </row>
    <row r="31" spans="2:35" s="29" customFormat="1" ht="33" customHeight="1">
      <c r="B31" s="50">
        <v>2020</v>
      </c>
      <c r="C31" s="49" t="s">
        <v>17</v>
      </c>
      <c r="D31" s="49" t="s">
        <v>86</v>
      </c>
      <c r="E31" s="46" t="s">
        <v>252</v>
      </c>
      <c r="F31" s="49" t="s">
        <v>70</v>
      </c>
      <c r="G31" s="39" t="s">
        <v>11</v>
      </c>
      <c r="H31" s="39" t="s">
        <v>19</v>
      </c>
      <c r="I31" s="75">
        <v>44161</v>
      </c>
      <c r="J31" s="53"/>
      <c r="K31" s="43">
        <v>3</v>
      </c>
      <c r="L31" s="6" t="s">
        <v>337</v>
      </c>
      <c r="M31" s="8" t="s">
        <v>338</v>
      </c>
      <c r="N31" s="9">
        <v>0</v>
      </c>
      <c r="O31" s="6">
        <v>0</v>
      </c>
      <c r="P31" s="115">
        <v>0</v>
      </c>
      <c r="Q31" s="116">
        <v>0</v>
      </c>
      <c r="R31" s="116">
        <v>0</v>
      </c>
      <c r="S31" s="117">
        <v>0</v>
      </c>
      <c r="T31" s="14">
        <v>0</v>
      </c>
      <c r="U31" s="42" t="s">
        <v>339</v>
      </c>
      <c r="V31" s="42" t="s">
        <v>339</v>
      </c>
      <c r="W31" s="42" t="s">
        <v>339</v>
      </c>
      <c r="X31" s="45">
        <v>0</v>
      </c>
      <c r="AA31" s="37" t="s">
        <v>242</v>
      </c>
      <c r="AI31" s="30">
        <v>0</v>
      </c>
    </row>
    <row r="32" spans="2:35" s="29" customFormat="1" ht="33" customHeight="1">
      <c r="B32" s="50">
        <v>2020</v>
      </c>
      <c r="C32" s="49" t="s">
        <v>83</v>
      </c>
      <c r="D32" s="49" t="s">
        <v>84</v>
      </c>
      <c r="E32" s="46" t="s">
        <v>240</v>
      </c>
      <c r="F32" s="49" t="s">
        <v>10</v>
      </c>
      <c r="G32" s="39" t="s">
        <v>11</v>
      </c>
      <c r="H32" s="39" t="s">
        <v>85</v>
      </c>
      <c r="I32" s="75">
        <v>44165</v>
      </c>
      <c r="J32" s="53"/>
      <c r="K32" s="8">
        <v>6</v>
      </c>
      <c r="L32" s="6" t="s">
        <v>336</v>
      </c>
      <c r="M32" s="8">
        <v>4</v>
      </c>
      <c r="N32" s="9">
        <v>45226</v>
      </c>
      <c r="O32" s="6">
        <v>5</v>
      </c>
      <c r="P32" s="115">
        <v>4</v>
      </c>
      <c r="Q32" s="116">
        <v>1</v>
      </c>
      <c r="R32" s="116">
        <v>0</v>
      </c>
      <c r="S32" s="117">
        <v>0</v>
      </c>
      <c r="T32" s="14">
        <v>4</v>
      </c>
      <c r="U32" s="42">
        <v>0.8</v>
      </c>
      <c r="V32" s="42">
        <v>0.2</v>
      </c>
      <c r="W32" s="42">
        <v>0</v>
      </c>
      <c r="X32" s="45">
        <v>0.66666666666666663</v>
      </c>
      <c r="AI32" s="30">
        <v>5</v>
      </c>
    </row>
    <row r="33" spans="2:35" s="29" customFormat="1" ht="33" customHeight="1">
      <c r="B33" s="50">
        <v>2020</v>
      </c>
      <c r="C33" s="49" t="s">
        <v>32</v>
      </c>
      <c r="D33" s="49" t="s">
        <v>33</v>
      </c>
      <c r="E33" s="46" t="s">
        <v>231</v>
      </c>
      <c r="F33" s="49" t="s">
        <v>34</v>
      </c>
      <c r="G33" s="39" t="s">
        <v>35</v>
      </c>
      <c r="H33" s="39" t="s">
        <v>36</v>
      </c>
      <c r="I33" s="10">
        <v>44187</v>
      </c>
      <c r="J33" s="53"/>
      <c r="K33" s="43">
        <v>14</v>
      </c>
      <c r="L33" s="47" t="s">
        <v>337</v>
      </c>
      <c r="M33" s="67" t="s">
        <v>338</v>
      </c>
      <c r="N33" s="44">
        <v>0</v>
      </c>
      <c r="O33" s="67">
        <v>0</v>
      </c>
      <c r="P33" s="70">
        <v>0</v>
      </c>
      <c r="Q33" s="71">
        <v>0</v>
      </c>
      <c r="R33" s="71">
        <v>0</v>
      </c>
      <c r="S33" s="72">
        <v>0</v>
      </c>
      <c r="T33" s="67">
        <v>0</v>
      </c>
      <c r="U33" s="42" t="s">
        <v>339</v>
      </c>
      <c r="V33" s="42" t="s">
        <v>339</v>
      </c>
      <c r="W33" s="42" t="s">
        <v>339</v>
      </c>
      <c r="X33" s="45">
        <v>0</v>
      </c>
      <c r="AI33" s="30">
        <v>0</v>
      </c>
    </row>
    <row r="34" spans="2:35" s="29" customFormat="1" ht="33" customHeight="1">
      <c r="B34" s="50">
        <v>2021</v>
      </c>
      <c r="C34" s="49" t="s">
        <v>87</v>
      </c>
      <c r="D34" s="49" t="s">
        <v>87</v>
      </c>
      <c r="E34" s="46" t="s">
        <v>243</v>
      </c>
      <c r="F34" s="49" t="s">
        <v>70</v>
      </c>
      <c r="G34" s="39" t="s">
        <v>82</v>
      </c>
      <c r="H34" s="39" t="s">
        <v>67</v>
      </c>
      <c r="I34" s="75">
        <v>44267</v>
      </c>
      <c r="J34" s="53"/>
      <c r="K34" s="8">
        <v>2</v>
      </c>
      <c r="L34" s="6" t="s">
        <v>336</v>
      </c>
      <c r="M34" s="8">
        <v>0</v>
      </c>
      <c r="N34" s="9">
        <v>0</v>
      </c>
      <c r="O34" s="6">
        <v>2</v>
      </c>
      <c r="P34" s="115">
        <v>0</v>
      </c>
      <c r="Q34" s="116">
        <v>0</v>
      </c>
      <c r="R34" s="116">
        <v>0</v>
      </c>
      <c r="S34" s="117">
        <v>2</v>
      </c>
      <c r="T34" s="14">
        <v>0</v>
      </c>
      <c r="U34" s="42" t="s">
        <v>339</v>
      </c>
      <c r="V34" s="42" t="s">
        <v>339</v>
      </c>
      <c r="W34" s="42" t="s">
        <v>339</v>
      </c>
      <c r="X34" s="45">
        <v>0</v>
      </c>
      <c r="AI34" s="30">
        <v>2</v>
      </c>
    </row>
    <row r="35" spans="2:35" s="29" customFormat="1" ht="33" customHeight="1">
      <c r="B35" s="50">
        <v>2021</v>
      </c>
      <c r="C35" s="49" t="s">
        <v>88</v>
      </c>
      <c r="D35" s="49" t="s">
        <v>53</v>
      </c>
      <c r="E35" s="46" t="s">
        <v>244</v>
      </c>
      <c r="F35" s="49" t="s">
        <v>10</v>
      </c>
      <c r="G35" s="39" t="s">
        <v>54</v>
      </c>
      <c r="H35" s="39" t="s">
        <v>55</v>
      </c>
      <c r="I35" s="75">
        <v>44292</v>
      </c>
      <c r="J35" s="53"/>
      <c r="K35" s="67">
        <v>4</v>
      </c>
      <c r="L35" s="69" t="s">
        <v>336</v>
      </c>
      <c r="M35" s="67">
        <v>0</v>
      </c>
      <c r="N35" s="68">
        <v>0</v>
      </c>
      <c r="O35" s="67">
        <v>15</v>
      </c>
      <c r="P35" s="70">
        <v>0</v>
      </c>
      <c r="Q35" s="71">
        <v>0</v>
      </c>
      <c r="R35" s="71">
        <v>0</v>
      </c>
      <c r="S35" s="72">
        <v>15</v>
      </c>
      <c r="T35" s="67">
        <v>0</v>
      </c>
      <c r="U35" s="42" t="s">
        <v>339</v>
      </c>
      <c r="V35" s="42" t="s">
        <v>339</v>
      </c>
      <c r="W35" s="42" t="s">
        <v>339</v>
      </c>
      <c r="X35" s="45">
        <v>0</v>
      </c>
      <c r="AA35" s="34" t="e">
        <v>#VALUE!</v>
      </c>
      <c r="AI35" s="30">
        <v>15</v>
      </c>
    </row>
    <row r="36" spans="2:35" s="29" customFormat="1" ht="33" customHeight="1">
      <c r="B36" s="50">
        <v>2021</v>
      </c>
      <c r="C36" s="49" t="s">
        <v>89</v>
      </c>
      <c r="D36" s="49" t="s">
        <v>90</v>
      </c>
      <c r="E36" s="46" t="s">
        <v>245</v>
      </c>
      <c r="F36" s="49" t="s">
        <v>70</v>
      </c>
      <c r="G36" s="39" t="s">
        <v>45</v>
      </c>
      <c r="H36" s="39" t="s">
        <v>46</v>
      </c>
      <c r="I36" s="10">
        <v>44334</v>
      </c>
      <c r="J36" s="53"/>
      <c r="K36" s="43">
        <v>3</v>
      </c>
      <c r="L36" s="47" t="s">
        <v>337</v>
      </c>
      <c r="M36" s="43" t="s">
        <v>338</v>
      </c>
      <c r="N36" s="44">
        <v>0</v>
      </c>
      <c r="O36" s="67">
        <v>0</v>
      </c>
      <c r="P36" s="70">
        <v>0</v>
      </c>
      <c r="Q36" s="71">
        <v>0</v>
      </c>
      <c r="R36" s="71">
        <v>0</v>
      </c>
      <c r="S36" s="72">
        <v>0</v>
      </c>
      <c r="T36" s="67">
        <v>0</v>
      </c>
      <c r="U36" s="42" t="s">
        <v>339</v>
      </c>
      <c r="V36" s="42" t="s">
        <v>339</v>
      </c>
      <c r="W36" s="42" t="s">
        <v>339</v>
      </c>
      <c r="X36" s="45">
        <v>0</v>
      </c>
      <c r="AA36" s="34" t="e">
        <v>#VALUE!</v>
      </c>
    </row>
    <row r="37" spans="2:35" s="29" customFormat="1" ht="33" customHeight="1">
      <c r="B37" s="50">
        <v>2021</v>
      </c>
      <c r="C37" s="49" t="s">
        <v>324</v>
      </c>
      <c r="D37" s="49" t="s">
        <v>91</v>
      </c>
      <c r="E37" s="46" t="s">
        <v>246</v>
      </c>
      <c r="F37" s="49" t="s">
        <v>10</v>
      </c>
      <c r="G37" s="39" t="s">
        <v>40</v>
      </c>
      <c r="H37" s="39" t="s">
        <v>41</v>
      </c>
      <c r="I37" s="10">
        <v>44342</v>
      </c>
      <c r="J37" s="53"/>
      <c r="K37" s="43">
        <v>5</v>
      </c>
      <c r="L37" s="47" t="s">
        <v>336</v>
      </c>
      <c r="M37" s="43">
        <v>0</v>
      </c>
      <c r="N37" s="44">
        <v>0</v>
      </c>
      <c r="O37" s="67">
        <v>20</v>
      </c>
      <c r="P37" s="70">
        <v>0</v>
      </c>
      <c r="Q37" s="71">
        <v>0</v>
      </c>
      <c r="R37" s="71">
        <v>0</v>
      </c>
      <c r="S37" s="72">
        <v>20</v>
      </c>
      <c r="T37" s="67">
        <v>0</v>
      </c>
      <c r="U37" s="42" t="s">
        <v>339</v>
      </c>
      <c r="V37" s="42" t="s">
        <v>339</v>
      </c>
      <c r="W37" s="42" t="s">
        <v>339</v>
      </c>
      <c r="X37" s="45">
        <v>0</v>
      </c>
      <c r="AI37" s="30">
        <v>20</v>
      </c>
    </row>
    <row r="38" spans="2:35" s="29" customFormat="1" ht="33" customHeight="1">
      <c r="B38" s="50">
        <v>2021</v>
      </c>
      <c r="C38" s="49" t="s">
        <v>92</v>
      </c>
      <c r="D38" s="49" t="s">
        <v>93</v>
      </c>
      <c r="E38" s="46" t="s">
        <v>247</v>
      </c>
      <c r="F38" s="49" t="s">
        <v>94</v>
      </c>
      <c r="G38" s="39" t="s">
        <v>95</v>
      </c>
      <c r="H38" s="39" t="s">
        <v>92</v>
      </c>
      <c r="I38" s="75">
        <v>44351</v>
      </c>
      <c r="J38" s="53"/>
      <c r="K38" s="43">
        <v>12</v>
      </c>
      <c r="L38" s="47" t="s">
        <v>336</v>
      </c>
      <c r="M38" s="43">
        <v>1</v>
      </c>
      <c r="N38" s="44">
        <v>44594</v>
      </c>
      <c r="O38" s="67">
        <v>17</v>
      </c>
      <c r="P38" s="70">
        <v>12</v>
      </c>
      <c r="Q38" s="71">
        <v>2</v>
      </c>
      <c r="R38" s="71">
        <v>0</v>
      </c>
      <c r="S38" s="72">
        <v>3</v>
      </c>
      <c r="T38" s="67">
        <v>7</v>
      </c>
      <c r="U38" s="42">
        <v>0.8571428571428571</v>
      </c>
      <c r="V38" s="42">
        <v>0.14285714285714285</v>
      </c>
      <c r="W38" s="42">
        <v>0</v>
      </c>
      <c r="X38" s="45">
        <v>0.58333333333333337</v>
      </c>
    </row>
    <row r="39" spans="2:35" s="29" customFormat="1" ht="33" customHeight="1">
      <c r="B39" s="50">
        <v>2021</v>
      </c>
      <c r="C39" s="49" t="s">
        <v>96</v>
      </c>
      <c r="D39" s="49" t="s">
        <v>97</v>
      </c>
      <c r="E39" s="46" t="s">
        <v>248</v>
      </c>
      <c r="F39" s="49" t="s">
        <v>98</v>
      </c>
      <c r="G39" s="39" t="s">
        <v>35</v>
      </c>
      <c r="H39" s="39" t="s">
        <v>36</v>
      </c>
      <c r="I39" s="10">
        <v>44358</v>
      </c>
      <c r="J39" s="53"/>
      <c r="K39" s="43">
        <v>7</v>
      </c>
      <c r="L39" s="47" t="s">
        <v>336</v>
      </c>
      <c r="M39" s="67">
        <v>1</v>
      </c>
      <c r="N39" s="44">
        <v>44718</v>
      </c>
      <c r="O39" s="67">
        <v>10</v>
      </c>
      <c r="P39" s="70">
        <v>1</v>
      </c>
      <c r="Q39" s="71">
        <v>4</v>
      </c>
      <c r="R39" s="71">
        <v>3</v>
      </c>
      <c r="S39" s="72">
        <v>2</v>
      </c>
      <c r="T39" s="67">
        <v>1</v>
      </c>
      <c r="U39" s="42">
        <v>0.125</v>
      </c>
      <c r="V39" s="42">
        <v>0.5</v>
      </c>
      <c r="W39" s="42">
        <v>0.375</v>
      </c>
      <c r="X39" s="45">
        <v>0.14285714285714285</v>
      </c>
      <c r="AI39" s="30">
        <v>10</v>
      </c>
    </row>
    <row r="40" spans="2:35" s="29" customFormat="1" ht="33" customHeight="1">
      <c r="B40" s="50">
        <v>2021</v>
      </c>
      <c r="C40" s="49" t="s">
        <v>100</v>
      </c>
      <c r="D40" s="49" t="s">
        <v>101</v>
      </c>
      <c r="E40" s="46" t="s">
        <v>316</v>
      </c>
      <c r="F40" s="49" t="s">
        <v>63</v>
      </c>
      <c r="G40" s="39" t="s">
        <v>35</v>
      </c>
      <c r="H40" s="39" t="s">
        <v>36</v>
      </c>
      <c r="I40" s="10">
        <v>44377</v>
      </c>
      <c r="J40" s="53"/>
      <c r="K40" s="43">
        <v>9</v>
      </c>
      <c r="L40" s="47" t="s">
        <v>337</v>
      </c>
      <c r="M40" s="67" t="s">
        <v>338</v>
      </c>
      <c r="N40" s="44">
        <v>0</v>
      </c>
      <c r="O40" s="67">
        <v>0</v>
      </c>
      <c r="P40" s="70">
        <v>0</v>
      </c>
      <c r="Q40" s="71">
        <v>0</v>
      </c>
      <c r="R40" s="71">
        <v>0</v>
      </c>
      <c r="S40" s="72">
        <v>0</v>
      </c>
      <c r="T40" s="67">
        <v>0</v>
      </c>
      <c r="U40" s="42" t="s">
        <v>339</v>
      </c>
      <c r="V40" s="42" t="s">
        <v>339</v>
      </c>
      <c r="W40" s="42" t="s">
        <v>339</v>
      </c>
      <c r="X40" s="45">
        <v>0</v>
      </c>
      <c r="AI40" s="30">
        <v>0</v>
      </c>
    </row>
    <row r="41" spans="2:35" s="29" customFormat="1" ht="33" customHeight="1">
      <c r="B41" s="50">
        <v>2021</v>
      </c>
      <c r="C41" s="49" t="s">
        <v>112</v>
      </c>
      <c r="D41" s="49" t="s">
        <v>113</v>
      </c>
      <c r="E41" s="46" t="s">
        <v>254</v>
      </c>
      <c r="F41" s="49" t="s">
        <v>70</v>
      </c>
      <c r="G41" s="39" t="s">
        <v>40</v>
      </c>
      <c r="H41" s="39" t="s">
        <v>41</v>
      </c>
      <c r="I41" s="10">
        <v>44411</v>
      </c>
      <c r="J41" s="53"/>
      <c r="K41" s="43">
        <v>3</v>
      </c>
      <c r="L41" s="47" t="s">
        <v>337</v>
      </c>
      <c r="M41" s="43" t="s">
        <v>338</v>
      </c>
      <c r="N41" s="44">
        <v>0</v>
      </c>
      <c r="O41" s="67">
        <v>0</v>
      </c>
      <c r="P41" s="70">
        <v>0</v>
      </c>
      <c r="Q41" s="71">
        <v>0</v>
      </c>
      <c r="R41" s="71">
        <v>0</v>
      </c>
      <c r="S41" s="72">
        <v>0</v>
      </c>
      <c r="T41" s="67">
        <v>0</v>
      </c>
      <c r="U41" s="42" t="s">
        <v>339</v>
      </c>
      <c r="V41" s="42" t="s">
        <v>339</v>
      </c>
      <c r="W41" s="42" t="s">
        <v>339</v>
      </c>
      <c r="X41" s="45">
        <v>0</v>
      </c>
      <c r="AI41" s="30">
        <v>0</v>
      </c>
    </row>
    <row r="42" spans="2:35" s="29" customFormat="1" ht="33" customHeight="1">
      <c r="B42" s="50">
        <v>2021</v>
      </c>
      <c r="C42" s="49" t="s">
        <v>108</v>
      </c>
      <c r="D42" s="49" t="s">
        <v>109</v>
      </c>
      <c r="E42" s="46" t="s">
        <v>257</v>
      </c>
      <c r="F42" s="49" t="s">
        <v>10</v>
      </c>
      <c r="G42" s="39" t="s">
        <v>11</v>
      </c>
      <c r="H42" s="39" t="s">
        <v>19</v>
      </c>
      <c r="I42" s="75">
        <v>44420</v>
      </c>
      <c r="J42" s="53"/>
      <c r="K42" s="43">
        <v>3</v>
      </c>
      <c r="L42" s="6" t="s">
        <v>336</v>
      </c>
      <c r="M42" s="8">
        <v>1</v>
      </c>
      <c r="N42" s="9">
        <v>44736</v>
      </c>
      <c r="O42" s="6">
        <v>4</v>
      </c>
      <c r="P42" s="115">
        <v>0</v>
      </c>
      <c r="Q42" s="116">
        <v>3</v>
      </c>
      <c r="R42" s="116">
        <v>1</v>
      </c>
      <c r="S42" s="117">
        <v>0</v>
      </c>
      <c r="T42" s="14">
        <v>0</v>
      </c>
      <c r="U42" s="42">
        <v>0</v>
      </c>
      <c r="V42" s="42">
        <v>0.75</v>
      </c>
      <c r="W42" s="42">
        <v>0.25</v>
      </c>
      <c r="X42" s="45">
        <v>0</v>
      </c>
      <c r="AA42" s="31" t="s">
        <v>214</v>
      </c>
      <c r="AI42" s="30">
        <v>4</v>
      </c>
    </row>
    <row r="43" spans="2:35" s="29" customFormat="1" ht="33" customHeight="1">
      <c r="B43" s="50">
        <v>2021</v>
      </c>
      <c r="C43" s="49" t="s">
        <v>102</v>
      </c>
      <c r="D43" s="49" t="s">
        <v>103</v>
      </c>
      <c r="E43" s="46" t="s">
        <v>250</v>
      </c>
      <c r="F43" s="49" t="s">
        <v>104</v>
      </c>
      <c r="G43" s="39" t="s">
        <v>105</v>
      </c>
      <c r="H43" s="39" t="s">
        <v>106</v>
      </c>
      <c r="I43" s="76">
        <v>44445</v>
      </c>
      <c r="J43" s="53"/>
      <c r="K43" s="8">
        <v>2</v>
      </c>
      <c r="L43" s="6" t="s">
        <v>337</v>
      </c>
      <c r="M43" s="8" t="s">
        <v>338</v>
      </c>
      <c r="N43" s="9">
        <v>0</v>
      </c>
      <c r="O43" s="6">
        <v>0</v>
      </c>
      <c r="P43" s="115">
        <v>0</v>
      </c>
      <c r="Q43" s="116">
        <v>0</v>
      </c>
      <c r="R43" s="116">
        <v>0</v>
      </c>
      <c r="S43" s="117">
        <v>0</v>
      </c>
      <c r="T43" s="14">
        <v>0</v>
      </c>
      <c r="U43" s="42" t="s">
        <v>339</v>
      </c>
      <c r="V43" s="42" t="s">
        <v>339</v>
      </c>
      <c r="W43" s="42" t="s">
        <v>339</v>
      </c>
      <c r="X43" s="45">
        <v>0</v>
      </c>
    </row>
    <row r="44" spans="2:35" s="29" customFormat="1" ht="33" customHeight="1">
      <c r="B44" s="50">
        <v>2021</v>
      </c>
      <c r="C44" s="49" t="s">
        <v>110</v>
      </c>
      <c r="D44" s="49" t="s">
        <v>111</v>
      </c>
      <c r="E44" s="48" t="s">
        <v>253</v>
      </c>
      <c r="F44" s="49" t="s">
        <v>98</v>
      </c>
      <c r="G44" s="39" t="s">
        <v>11</v>
      </c>
      <c r="H44" s="39" t="s">
        <v>31</v>
      </c>
      <c r="I44" s="75">
        <v>44445</v>
      </c>
      <c r="J44" s="53"/>
      <c r="K44" s="8">
        <v>5</v>
      </c>
      <c r="L44" s="6" t="s">
        <v>336</v>
      </c>
      <c r="M44" s="8">
        <v>1</v>
      </c>
      <c r="N44" s="9">
        <v>45237</v>
      </c>
      <c r="O44" s="6">
        <v>9</v>
      </c>
      <c r="P44" s="115">
        <v>6</v>
      </c>
      <c r="Q44" s="116">
        <v>2</v>
      </c>
      <c r="R44" s="116">
        <v>1</v>
      </c>
      <c r="S44" s="117">
        <v>0</v>
      </c>
      <c r="T44" s="14">
        <v>3</v>
      </c>
      <c r="U44" s="42">
        <v>0.66666666666666663</v>
      </c>
      <c r="V44" s="42">
        <v>0.22222222222222221</v>
      </c>
      <c r="W44" s="42">
        <v>0.1111111111111111</v>
      </c>
      <c r="X44" s="45">
        <v>0.6</v>
      </c>
      <c r="AA44" s="38" t="e">
        <v>#DIV/0!</v>
      </c>
      <c r="AI44" s="30">
        <v>9</v>
      </c>
    </row>
    <row r="45" spans="2:35" s="29" customFormat="1" ht="33" customHeight="1">
      <c r="B45" s="50">
        <v>2021</v>
      </c>
      <c r="C45" s="49" t="s">
        <v>107</v>
      </c>
      <c r="D45" s="49" t="s">
        <v>107</v>
      </c>
      <c r="E45" s="46" t="s">
        <v>251</v>
      </c>
      <c r="F45" s="49" t="s">
        <v>70</v>
      </c>
      <c r="G45" s="39" t="s">
        <v>50</v>
      </c>
      <c r="H45" s="39" t="s">
        <v>51</v>
      </c>
      <c r="I45" s="75">
        <v>44456</v>
      </c>
      <c r="J45" s="53"/>
      <c r="K45" s="43">
        <v>3</v>
      </c>
      <c r="L45" s="47" t="s">
        <v>336</v>
      </c>
      <c r="M45" s="67">
        <v>1</v>
      </c>
      <c r="N45" s="68">
        <v>45260</v>
      </c>
      <c r="O45" s="67">
        <v>7</v>
      </c>
      <c r="P45" s="70">
        <v>0</v>
      </c>
      <c r="Q45" s="71">
        <v>0</v>
      </c>
      <c r="R45" s="71">
        <v>7</v>
      </c>
      <c r="S45" s="72">
        <v>0</v>
      </c>
      <c r="T45" s="67">
        <v>0</v>
      </c>
      <c r="U45" s="42">
        <v>0</v>
      </c>
      <c r="V45" s="42">
        <v>0</v>
      </c>
      <c r="W45" s="42">
        <v>1</v>
      </c>
      <c r="X45" s="45">
        <v>0</v>
      </c>
      <c r="AA45" s="34" t="e">
        <v>#VALUE!</v>
      </c>
      <c r="AI45" s="30">
        <v>7</v>
      </c>
    </row>
    <row r="46" spans="2:35" s="29" customFormat="1" ht="33" customHeight="1">
      <c r="B46" s="50">
        <v>2021</v>
      </c>
      <c r="C46" s="49" t="s">
        <v>119</v>
      </c>
      <c r="D46" s="49" t="s">
        <v>119</v>
      </c>
      <c r="E46" s="46" t="s">
        <v>230</v>
      </c>
      <c r="F46" s="49" t="s">
        <v>70</v>
      </c>
      <c r="G46" s="39" t="s">
        <v>11</v>
      </c>
      <c r="H46" s="39" t="s">
        <v>19</v>
      </c>
      <c r="I46" s="75">
        <v>44474</v>
      </c>
      <c r="J46" s="53"/>
      <c r="K46" s="43">
        <v>3</v>
      </c>
      <c r="L46" s="6" t="s">
        <v>337</v>
      </c>
      <c r="M46" s="8" t="s">
        <v>338</v>
      </c>
      <c r="N46" s="9">
        <v>0</v>
      </c>
      <c r="O46" s="6">
        <v>0</v>
      </c>
      <c r="P46" s="115">
        <v>0</v>
      </c>
      <c r="Q46" s="116">
        <v>0</v>
      </c>
      <c r="R46" s="116">
        <v>0</v>
      </c>
      <c r="S46" s="117">
        <v>0</v>
      </c>
      <c r="T46" s="14">
        <v>0</v>
      </c>
      <c r="U46" s="42" t="s">
        <v>339</v>
      </c>
      <c r="V46" s="42" t="s">
        <v>339</v>
      </c>
      <c r="W46" s="42" t="s">
        <v>339</v>
      </c>
      <c r="X46" s="45">
        <v>0</v>
      </c>
      <c r="AA46" s="36" t="s">
        <v>235</v>
      </c>
      <c r="AI46" s="30">
        <v>0</v>
      </c>
    </row>
    <row r="47" spans="2:35" s="29" customFormat="1" ht="33" customHeight="1">
      <c r="B47" s="50">
        <v>2021</v>
      </c>
      <c r="C47" s="49" t="s">
        <v>114</v>
      </c>
      <c r="D47" s="49" t="s">
        <v>115</v>
      </c>
      <c r="E47" s="46" t="s">
        <v>255</v>
      </c>
      <c r="F47" s="49" t="s">
        <v>98</v>
      </c>
      <c r="G47" s="39" t="s">
        <v>40</v>
      </c>
      <c r="H47" s="39" t="s">
        <v>41</v>
      </c>
      <c r="I47" s="10">
        <v>44490</v>
      </c>
      <c r="J47" s="53"/>
      <c r="K47" s="43">
        <v>5</v>
      </c>
      <c r="L47" s="47" t="s">
        <v>337</v>
      </c>
      <c r="M47" s="43" t="s">
        <v>338</v>
      </c>
      <c r="N47" s="44">
        <v>0</v>
      </c>
      <c r="O47" s="67">
        <v>0</v>
      </c>
      <c r="P47" s="70">
        <v>0</v>
      </c>
      <c r="Q47" s="71">
        <v>0</v>
      </c>
      <c r="R47" s="71">
        <v>0</v>
      </c>
      <c r="S47" s="72">
        <v>0</v>
      </c>
      <c r="T47" s="67">
        <v>0</v>
      </c>
      <c r="U47" s="42" t="s">
        <v>339</v>
      </c>
      <c r="V47" s="42" t="s">
        <v>339</v>
      </c>
      <c r="W47" s="42" t="s">
        <v>339</v>
      </c>
      <c r="X47" s="45">
        <v>0</v>
      </c>
      <c r="AI47" s="30">
        <v>0</v>
      </c>
    </row>
    <row r="48" spans="2:35" s="29" customFormat="1" ht="33" customHeight="1">
      <c r="B48" s="50">
        <v>2021</v>
      </c>
      <c r="C48" s="49" t="s">
        <v>99</v>
      </c>
      <c r="D48" s="49" t="s">
        <v>97</v>
      </c>
      <c r="E48" s="46" t="s">
        <v>249</v>
      </c>
      <c r="F48" s="49" t="s">
        <v>98</v>
      </c>
      <c r="G48" s="39" t="s">
        <v>35</v>
      </c>
      <c r="H48" s="39" t="s">
        <v>36</v>
      </c>
      <c r="I48" s="10">
        <v>44498</v>
      </c>
      <c r="J48" s="53"/>
      <c r="K48" s="43">
        <v>6</v>
      </c>
      <c r="L48" s="47" t="s">
        <v>337</v>
      </c>
      <c r="M48" s="67" t="s">
        <v>338</v>
      </c>
      <c r="N48" s="44">
        <v>0</v>
      </c>
      <c r="O48" s="67">
        <v>0</v>
      </c>
      <c r="P48" s="70">
        <v>0</v>
      </c>
      <c r="Q48" s="71">
        <v>0</v>
      </c>
      <c r="R48" s="71">
        <v>0</v>
      </c>
      <c r="S48" s="72">
        <v>0</v>
      </c>
      <c r="T48" s="67">
        <v>0</v>
      </c>
      <c r="U48" s="42" t="s">
        <v>339</v>
      </c>
      <c r="V48" s="42" t="s">
        <v>339</v>
      </c>
      <c r="W48" s="42" t="s">
        <v>339</v>
      </c>
      <c r="X48" s="45">
        <v>0</v>
      </c>
      <c r="AA48" s="29">
        <v>1</v>
      </c>
      <c r="AB48" s="29">
        <v>1</v>
      </c>
      <c r="AC48" s="29">
        <v>1</v>
      </c>
      <c r="AD48" s="32" t="e">
        <v>#REF!</v>
      </c>
      <c r="AI48" s="30">
        <v>0</v>
      </c>
    </row>
    <row r="49" spans="2:35" s="29" customFormat="1" ht="33" customHeight="1">
      <c r="B49" s="50">
        <v>2021</v>
      </c>
      <c r="C49" s="49" t="s">
        <v>120</v>
      </c>
      <c r="D49" s="49" t="s">
        <v>121</v>
      </c>
      <c r="E49" s="46" t="s">
        <v>258</v>
      </c>
      <c r="F49" s="49" t="s">
        <v>104</v>
      </c>
      <c r="G49" s="39" t="s">
        <v>40</v>
      </c>
      <c r="H49" s="39" t="s">
        <v>41</v>
      </c>
      <c r="I49" s="10">
        <v>44499</v>
      </c>
      <c r="J49" s="53"/>
      <c r="K49" s="43">
        <v>4</v>
      </c>
      <c r="L49" s="47" t="s">
        <v>336</v>
      </c>
      <c r="M49" s="43">
        <v>1</v>
      </c>
      <c r="N49" s="44">
        <v>44726</v>
      </c>
      <c r="O49" s="67">
        <v>10</v>
      </c>
      <c r="P49" s="70">
        <v>0</v>
      </c>
      <c r="Q49" s="71">
        <v>0</v>
      </c>
      <c r="R49" s="71">
        <v>10</v>
      </c>
      <c r="S49" s="72">
        <v>0</v>
      </c>
      <c r="T49" s="67">
        <v>0</v>
      </c>
      <c r="U49" s="42">
        <v>0</v>
      </c>
      <c r="V49" s="42">
        <v>0</v>
      </c>
      <c r="W49" s="42">
        <v>1</v>
      </c>
      <c r="X49" s="45">
        <v>0</v>
      </c>
      <c r="AI49" s="30">
        <v>10</v>
      </c>
    </row>
    <row r="50" spans="2:35" s="29" customFormat="1" ht="33" customHeight="1">
      <c r="B50" s="50">
        <v>2021</v>
      </c>
      <c r="C50" s="49" t="s">
        <v>116</v>
      </c>
      <c r="D50" s="49" t="s">
        <v>117</v>
      </c>
      <c r="E50" s="48" t="s">
        <v>256</v>
      </c>
      <c r="F50" s="49" t="s">
        <v>10</v>
      </c>
      <c r="G50" s="39" t="s">
        <v>11</v>
      </c>
      <c r="H50" s="39" t="s">
        <v>118</v>
      </c>
      <c r="I50" s="75">
        <v>44503</v>
      </c>
      <c r="J50" s="53"/>
      <c r="K50" s="8">
        <v>1</v>
      </c>
      <c r="L50" s="6" t="s">
        <v>336</v>
      </c>
      <c r="M50" s="8">
        <v>2</v>
      </c>
      <c r="N50" s="9">
        <v>45231</v>
      </c>
      <c r="O50" s="6">
        <v>12</v>
      </c>
      <c r="P50" s="115">
        <v>0</v>
      </c>
      <c r="Q50" s="116">
        <v>4</v>
      </c>
      <c r="R50" s="116">
        <v>8</v>
      </c>
      <c r="S50" s="117">
        <v>0</v>
      </c>
      <c r="T50" s="14">
        <v>0</v>
      </c>
      <c r="U50" s="42">
        <v>0</v>
      </c>
      <c r="V50" s="42">
        <v>0.33333333333333331</v>
      </c>
      <c r="W50" s="42">
        <v>0.66666666666666663</v>
      </c>
      <c r="X50" s="45">
        <v>0</v>
      </c>
      <c r="AA50" s="29">
        <v>1</v>
      </c>
      <c r="AB50" s="29">
        <v>1</v>
      </c>
      <c r="AC50" s="29">
        <v>1</v>
      </c>
      <c r="AD50" s="32" t="e">
        <v>#REF!</v>
      </c>
      <c r="AI50" s="30">
        <v>12</v>
      </c>
    </row>
    <row r="51" spans="2:35" s="29" customFormat="1" ht="33" customHeight="1">
      <c r="B51" s="50">
        <v>2021</v>
      </c>
      <c r="C51" s="49" t="s">
        <v>122</v>
      </c>
      <c r="D51" s="49" t="s">
        <v>123</v>
      </c>
      <c r="E51" s="46" t="s">
        <v>259</v>
      </c>
      <c r="F51" s="49" t="s">
        <v>94</v>
      </c>
      <c r="G51" s="39" t="s">
        <v>82</v>
      </c>
      <c r="H51" s="39" t="s">
        <v>67</v>
      </c>
      <c r="I51" s="75">
        <v>44509</v>
      </c>
      <c r="J51" s="53"/>
      <c r="K51" s="8">
        <v>7</v>
      </c>
      <c r="L51" s="6" t="s">
        <v>337</v>
      </c>
      <c r="M51" s="8" t="s">
        <v>338</v>
      </c>
      <c r="N51" s="9">
        <v>0</v>
      </c>
      <c r="O51" s="6">
        <v>0</v>
      </c>
      <c r="P51" s="115">
        <v>0</v>
      </c>
      <c r="Q51" s="116">
        <v>0</v>
      </c>
      <c r="R51" s="116">
        <v>0</v>
      </c>
      <c r="S51" s="117">
        <v>0</v>
      </c>
      <c r="T51" s="14">
        <v>0</v>
      </c>
      <c r="U51" s="42" t="s">
        <v>339</v>
      </c>
      <c r="V51" s="42" t="s">
        <v>339</v>
      </c>
      <c r="W51" s="42" t="s">
        <v>339</v>
      </c>
      <c r="X51" s="45">
        <v>0</v>
      </c>
      <c r="AA51" s="29">
        <v>1</v>
      </c>
      <c r="AB51" s="29">
        <v>1</v>
      </c>
      <c r="AC51" s="29">
        <v>1</v>
      </c>
      <c r="AD51" s="32" t="e">
        <v>#REF!</v>
      </c>
      <c r="AI51" s="30">
        <v>0</v>
      </c>
    </row>
    <row r="52" spans="2:35" s="29" customFormat="1" ht="33" customHeight="1">
      <c r="B52" s="50">
        <v>2021</v>
      </c>
      <c r="C52" s="49" t="s">
        <v>125</v>
      </c>
      <c r="D52" s="49" t="s">
        <v>126</v>
      </c>
      <c r="E52" s="46" t="s">
        <v>261</v>
      </c>
      <c r="F52" s="49" t="s">
        <v>98</v>
      </c>
      <c r="G52" s="39" t="s">
        <v>127</v>
      </c>
      <c r="H52" s="39" t="s">
        <v>128</v>
      </c>
      <c r="I52" s="75">
        <v>44559</v>
      </c>
      <c r="J52" s="53"/>
      <c r="K52" s="43">
        <v>1</v>
      </c>
      <c r="L52" s="47" t="s">
        <v>336</v>
      </c>
      <c r="M52" s="43">
        <v>0</v>
      </c>
      <c r="N52" s="44">
        <v>0</v>
      </c>
      <c r="O52" s="67">
        <v>8</v>
      </c>
      <c r="P52" s="70">
        <v>0</v>
      </c>
      <c r="Q52" s="71">
        <v>0</v>
      </c>
      <c r="R52" s="71">
        <v>0</v>
      </c>
      <c r="S52" s="72">
        <v>8</v>
      </c>
      <c r="T52" s="67">
        <v>0</v>
      </c>
      <c r="U52" s="42" t="s">
        <v>339</v>
      </c>
      <c r="V52" s="42" t="s">
        <v>339</v>
      </c>
      <c r="W52" s="42" t="s">
        <v>339</v>
      </c>
      <c r="X52" s="45">
        <v>0</v>
      </c>
    </row>
    <row r="53" spans="2:35" s="29" customFormat="1" ht="33" customHeight="1">
      <c r="B53" s="50">
        <v>2021</v>
      </c>
      <c r="C53" s="49" t="s">
        <v>124</v>
      </c>
      <c r="D53" s="49" t="s">
        <v>33</v>
      </c>
      <c r="E53" s="46" t="s">
        <v>260</v>
      </c>
      <c r="F53" s="49" t="s">
        <v>104</v>
      </c>
      <c r="G53" s="39" t="s">
        <v>35</v>
      </c>
      <c r="H53" s="39" t="s">
        <v>36</v>
      </c>
      <c r="I53" s="10">
        <v>44601</v>
      </c>
      <c r="J53" s="53"/>
      <c r="K53" s="43">
        <v>4</v>
      </c>
      <c r="L53" s="47" t="s">
        <v>336</v>
      </c>
      <c r="M53" s="67">
        <v>1</v>
      </c>
      <c r="N53" s="44">
        <v>44700</v>
      </c>
      <c r="O53" s="67">
        <v>5</v>
      </c>
      <c r="P53" s="70">
        <v>0</v>
      </c>
      <c r="Q53" s="71">
        <v>4</v>
      </c>
      <c r="R53" s="71">
        <v>1</v>
      </c>
      <c r="S53" s="72">
        <v>0</v>
      </c>
      <c r="T53" s="67">
        <v>0</v>
      </c>
      <c r="U53" s="42">
        <v>0</v>
      </c>
      <c r="V53" s="42">
        <v>0.8</v>
      </c>
      <c r="W53" s="42">
        <v>0.2</v>
      </c>
      <c r="X53" s="45">
        <v>0</v>
      </c>
      <c r="AA53" s="29" t="s">
        <v>209</v>
      </c>
      <c r="AD53" s="29" t="e">
        <v>#REF!</v>
      </c>
      <c r="AI53" s="30">
        <v>5</v>
      </c>
    </row>
    <row r="54" spans="2:35" s="29" customFormat="1" ht="33" customHeight="1">
      <c r="B54" s="50">
        <v>2022</v>
      </c>
      <c r="C54" s="49" t="s">
        <v>136</v>
      </c>
      <c r="D54" s="49" t="s">
        <v>97</v>
      </c>
      <c r="E54" s="46" t="s">
        <v>265</v>
      </c>
      <c r="F54" s="49" t="s">
        <v>70</v>
      </c>
      <c r="G54" s="39" t="s">
        <v>35</v>
      </c>
      <c r="H54" s="39" t="s">
        <v>36</v>
      </c>
      <c r="I54" s="10">
        <v>44586</v>
      </c>
      <c r="J54" s="53"/>
      <c r="K54" s="43">
        <v>2</v>
      </c>
      <c r="L54" s="47" t="s">
        <v>337</v>
      </c>
      <c r="M54" s="67" t="s">
        <v>338</v>
      </c>
      <c r="N54" s="44">
        <v>0</v>
      </c>
      <c r="O54" s="67">
        <v>0</v>
      </c>
      <c r="P54" s="70">
        <v>0</v>
      </c>
      <c r="Q54" s="71">
        <v>0</v>
      </c>
      <c r="R54" s="71">
        <v>0</v>
      </c>
      <c r="S54" s="72">
        <v>0</v>
      </c>
      <c r="T54" s="67">
        <v>0</v>
      </c>
      <c r="U54" s="42" t="s">
        <v>339</v>
      </c>
      <c r="V54" s="42" t="s">
        <v>339</v>
      </c>
      <c r="W54" s="42" t="s">
        <v>339</v>
      </c>
      <c r="X54" s="45">
        <v>0</v>
      </c>
      <c r="AI54" s="30">
        <v>0</v>
      </c>
    </row>
    <row r="55" spans="2:35" s="29" customFormat="1" ht="33" customHeight="1">
      <c r="B55" s="50">
        <v>2022</v>
      </c>
      <c r="C55" s="49" t="s">
        <v>131</v>
      </c>
      <c r="D55" s="49" t="s">
        <v>132</v>
      </c>
      <c r="E55" s="46" t="s">
        <v>263</v>
      </c>
      <c r="F55" s="49" t="s">
        <v>133</v>
      </c>
      <c r="G55" s="39" t="s">
        <v>127</v>
      </c>
      <c r="H55" s="39" t="s">
        <v>128</v>
      </c>
      <c r="I55" s="75">
        <v>44636</v>
      </c>
      <c r="J55" s="53"/>
      <c r="K55" s="43">
        <v>1</v>
      </c>
      <c r="L55" s="47" t="s">
        <v>336</v>
      </c>
      <c r="M55" s="43">
        <v>2</v>
      </c>
      <c r="N55" s="44">
        <v>44740</v>
      </c>
      <c r="O55" s="67">
        <v>12</v>
      </c>
      <c r="P55" s="70">
        <v>3</v>
      </c>
      <c r="Q55" s="71">
        <v>9</v>
      </c>
      <c r="R55" s="71">
        <v>0</v>
      </c>
      <c r="S55" s="72">
        <v>0</v>
      </c>
      <c r="T55" s="67">
        <v>0</v>
      </c>
      <c r="U55" s="42">
        <v>0.25</v>
      </c>
      <c r="V55" s="42">
        <v>0.75</v>
      </c>
      <c r="W55" s="42">
        <v>0</v>
      </c>
      <c r="X55" s="45">
        <v>0</v>
      </c>
      <c r="AA55" s="29">
        <v>1</v>
      </c>
      <c r="AB55" s="29">
        <v>1</v>
      </c>
      <c r="AC55" s="29">
        <v>6</v>
      </c>
      <c r="AD55" s="32" t="e">
        <v>#VALUE!</v>
      </c>
    </row>
    <row r="56" spans="2:35" s="29" customFormat="1" ht="33" customHeight="1">
      <c r="B56" s="50">
        <v>2022</v>
      </c>
      <c r="C56" s="49" t="s">
        <v>134</v>
      </c>
      <c r="D56" s="49" t="s">
        <v>135</v>
      </c>
      <c r="E56" s="46" t="s">
        <v>264</v>
      </c>
      <c r="F56" s="49" t="s">
        <v>70</v>
      </c>
      <c r="G56" s="39" t="s">
        <v>45</v>
      </c>
      <c r="H56" s="39" t="s">
        <v>46</v>
      </c>
      <c r="I56" s="10">
        <v>44637</v>
      </c>
      <c r="J56" s="53"/>
      <c r="K56" s="43">
        <v>2</v>
      </c>
      <c r="L56" s="47" t="s">
        <v>337</v>
      </c>
      <c r="M56" s="43" t="s">
        <v>338</v>
      </c>
      <c r="N56" s="44">
        <v>0</v>
      </c>
      <c r="O56" s="67">
        <v>0</v>
      </c>
      <c r="P56" s="70">
        <v>0</v>
      </c>
      <c r="Q56" s="71">
        <v>0</v>
      </c>
      <c r="R56" s="71">
        <v>0</v>
      </c>
      <c r="S56" s="72">
        <v>0</v>
      </c>
      <c r="T56" s="67">
        <v>0</v>
      </c>
      <c r="U56" s="42" t="s">
        <v>339</v>
      </c>
      <c r="V56" s="42" t="s">
        <v>339</v>
      </c>
      <c r="W56" s="42" t="s">
        <v>339</v>
      </c>
      <c r="X56" s="45">
        <v>0</v>
      </c>
    </row>
    <row r="57" spans="2:35" s="29" customFormat="1" ht="33" customHeight="1">
      <c r="B57" s="50">
        <v>2022</v>
      </c>
      <c r="C57" s="49" t="s">
        <v>129</v>
      </c>
      <c r="D57" s="49" t="s">
        <v>130</v>
      </c>
      <c r="E57" s="46" t="s">
        <v>262</v>
      </c>
      <c r="F57" s="49" t="s">
        <v>98</v>
      </c>
      <c r="G57" s="39" t="s">
        <v>40</v>
      </c>
      <c r="H57" s="39" t="s">
        <v>41</v>
      </c>
      <c r="I57" s="10">
        <v>44648</v>
      </c>
      <c r="J57" s="53"/>
      <c r="K57" s="43">
        <v>2</v>
      </c>
      <c r="L57" s="47" t="s">
        <v>336</v>
      </c>
      <c r="M57" s="43">
        <v>0</v>
      </c>
      <c r="N57" s="44">
        <v>0</v>
      </c>
      <c r="O57" s="67">
        <v>6</v>
      </c>
      <c r="P57" s="70">
        <v>0</v>
      </c>
      <c r="Q57" s="71">
        <v>0</v>
      </c>
      <c r="R57" s="71">
        <v>0</v>
      </c>
      <c r="S57" s="72">
        <v>6</v>
      </c>
      <c r="T57" s="67">
        <v>0</v>
      </c>
      <c r="U57" s="42" t="s">
        <v>339</v>
      </c>
      <c r="V57" s="42" t="s">
        <v>339</v>
      </c>
      <c r="W57" s="42" t="s">
        <v>339</v>
      </c>
      <c r="X57" s="45">
        <v>0</v>
      </c>
      <c r="AA57" s="29">
        <v>1</v>
      </c>
      <c r="AB57" s="29">
        <v>1</v>
      </c>
      <c r="AC57" s="29">
        <v>7</v>
      </c>
      <c r="AD57" s="32" t="e">
        <v>#VALUE!</v>
      </c>
      <c r="AI57" s="30">
        <v>6</v>
      </c>
    </row>
    <row r="58" spans="2:35" s="29" customFormat="1" ht="33" customHeight="1">
      <c r="B58" s="50">
        <v>2022</v>
      </c>
      <c r="C58" s="49" t="s">
        <v>140</v>
      </c>
      <c r="D58" s="49" t="s">
        <v>141</v>
      </c>
      <c r="E58" s="46" t="s">
        <v>268</v>
      </c>
      <c r="F58" s="49" t="s">
        <v>94</v>
      </c>
      <c r="G58" s="39" t="s">
        <v>95</v>
      </c>
      <c r="H58" s="39" t="s">
        <v>142</v>
      </c>
      <c r="I58" s="75">
        <v>44705</v>
      </c>
      <c r="J58" s="53"/>
      <c r="K58" s="8">
        <v>4</v>
      </c>
      <c r="L58" s="6" t="s">
        <v>336</v>
      </c>
      <c r="M58" s="8">
        <v>0</v>
      </c>
      <c r="N58" s="9">
        <v>0</v>
      </c>
      <c r="O58" s="6">
        <v>5</v>
      </c>
      <c r="P58" s="115">
        <v>0</v>
      </c>
      <c r="Q58" s="116">
        <v>0</v>
      </c>
      <c r="R58" s="116">
        <v>0</v>
      </c>
      <c r="S58" s="117">
        <v>5</v>
      </c>
      <c r="T58" s="14">
        <v>0</v>
      </c>
      <c r="U58" s="42" t="s">
        <v>339</v>
      </c>
      <c r="V58" s="42" t="s">
        <v>339</v>
      </c>
      <c r="W58" s="42" t="s">
        <v>339</v>
      </c>
      <c r="X58" s="45">
        <v>0</v>
      </c>
    </row>
    <row r="59" spans="2:35" s="29" customFormat="1" ht="33" customHeight="1">
      <c r="B59" s="50">
        <v>2022</v>
      </c>
      <c r="C59" s="49" t="s">
        <v>143</v>
      </c>
      <c r="D59" s="49" t="s">
        <v>144</v>
      </c>
      <c r="E59" s="46" t="s">
        <v>267</v>
      </c>
      <c r="F59" s="49" t="s">
        <v>70</v>
      </c>
      <c r="G59" s="39" t="s">
        <v>40</v>
      </c>
      <c r="H59" s="39" t="s">
        <v>41</v>
      </c>
      <c r="I59" s="10">
        <v>44715</v>
      </c>
      <c r="J59" s="53"/>
      <c r="K59" s="43">
        <v>1</v>
      </c>
      <c r="L59" s="47" t="s">
        <v>337</v>
      </c>
      <c r="M59" s="43" t="s">
        <v>338</v>
      </c>
      <c r="N59" s="44">
        <v>0</v>
      </c>
      <c r="O59" s="67">
        <v>0</v>
      </c>
      <c r="P59" s="70">
        <v>0</v>
      </c>
      <c r="Q59" s="71">
        <v>0</v>
      </c>
      <c r="R59" s="71">
        <v>0</v>
      </c>
      <c r="S59" s="72">
        <v>0</v>
      </c>
      <c r="T59" s="67">
        <v>0</v>
      </c>
      <c r="U59" s="42" t="s">
        <v>339</v>
      </c>
      <c r="V59" s="42" t="s">
        <v>339</v>
      </c>
      <c r="W59" s="42" t="s">
        <v>339</v>
      </c>
      <c r="X59" s="45">
        <v>0</v>
      </c>
      <c r="AI59" s="30">
        <v>0</v>
      </c>
    </row>
    <row r="60" spans="2:35" s="29" customFormat="1" ht="33" customHeight="1">
      <c r="B60" s="50">
        <v>2022</v>
      </c>
      <c r="C60" s="49" t="s">
        <v>138</v>
      </c>
      <c r="D60" s="49" t="s">
        <v>139</v>
      </c>
      <c r="E60" s="46" t="s">
        <v>269</v>
      </c>
      <c r="F60" s="49" t="s">
        <v>10</v>
      </c>
      <c r="G60" s="39" t="s">
        <v>40</v>
      </c>
      <c r="H60" s="39" t="s">
        <v>41</v>
      </c>
      <c r="I60" s="10">
        <v>44728</v>
      </c>
      <c r="J60" s="53"/>
      <c r="K60" s="43">
        <v>1</v>
      </c>
      <c r="L60" s="47" t="s">
        <v>337</v>
      </c>
      <c r="M60" s="43" t="s">
        <v>338</v>
      </c>
      <c r="N60" s="44">
        <v>0</v>
      </c>
      <c r="O60" s="67">
        <v>0</v>
      </c>
      <c r="P60" s="70">
        <v>0</v>
      </c>
      <c r="Q60" s="71">
        <v>0</v>
      </c>
      <c r="R60" s="71">
        <v>0</v>
      </c>
      <c r="S60" s="72">
        <v>0</v>
      </c>
      <c r="T60" s="67">
        <v>0</v>
      </c>
      <c r="U60" s="42" t="s">
        <v>339</v>
      </c>
      <c r="V60" s="42" t="s">
        <v>339</v>
      </c>
      <c r="W60" s="42" t="s">
        <v>339</v>
      </c>
      <c r="X60" s="45">
        <v>0</v>
      </c>
      <c r="AI60" s="30">
        <v>0</v>
      </c>
    </row>
    <row r="61" spans="2:35" s="29" customFormat="1" ht="33" customHeight="1">
      <c r="B61" s="50">
        <v>2022</v>
      </c>
      <c r="C61" s="49" t="s">
        <v>270</v>
      </c>
      <c r="D61" s="49" t="s">
        <v>147</v>
      </c>
      <c r="E61" s="46" t="s">
        <v>270</v>
      </c>
      <c r="F61" s="49" t="s">
        <v>148</v>
      </c>
      <c r="G61" s="39" t="s">
        <v>40</v>
      </c>
      <c r="H61" s="39" t="s">
        <v>41</v>
      </c>
      <c r="I61" s="10">
        <v>44783</v>
      </c>
      <c r="J61" s="53"/>
      <c r="K61" s="43">
        <v>4</v>
      </c>
      <c r="L61" s="47" t="s">
        <v>337</v>
      </c>
      <c r="M61" s="43" t="s">
        <v>338</v>
      </c>
      <c r="N61" s="44">
        <v>0</v>
      </c>
      <c r="O61" s="67">
        <v>0</v>
      </c>
      <c r="P61" s="70">
        <v>0</v>
      </c>
      <c r="Q61" s="71">
        <v>0</v>
      </c>
      <c r="R61" s="71">
        <v>0</v>
      </c>
      <c r="S61" s="72">
        <v>0</v>
      </c>
      <c r="T61" s="67">
        <v>0</v>
      </c>
      <c r="U61" s="42" t="s">
        <v>339</v>
      </c>
      <c r="V61" s="42" t="s">
        <v>339</v>
      </c>
      <c r="W61" s="42" t="s">
        <v>339</v>
      </c>
      <c r="X61" s="45">
        <v>0</v>
      </c>
      <c r="AI61" s="30">
        <v>0</v>
      </c>
    </row>
    <row r="62" spans="2:35" s="29" customFormat="1" ht="33" customHeight="1">
      <c r="B62" s="50">
        <v>2022</v>
      </c>
      <c r="C62" s="49" t="s">
        <v>156</v>
      </c>
      <c r="D62" s="49" t="s">
        <v>57</v>
      </c>
      <c r="E62" s="46" t="s">
        <v>273</v>
      </c>
      <c r="F62" s="49" t="s">
        <v>104</v>
      </c>
      <c r="G62" s="39" t="s">
        <v>35</v>
      </c>
      <c r="H62" s="39" t="s">
        <v>36</v>
      </c>
      <c r="I62" s="10">
        <v>44824</v>
      </c>
      <c r="J62" s="53"/>
      <c r="K62" s="43">
        <v>4</v>
      </c>
      <c r="L62" s="47" t="s">
        <v>337</v>
      </c>
      <c r="M62" s="67" t="s">
        <v>338</v>
      </c>
      <c r="N62" s="44">
        <v>0</v>
      </c>
      <c r="O62" s="67">
        <v>0</v>
      </c>
      <c r="P62" s="70">
        <v>0</v>
      </c>
      <c r="Q62" s="71">
        <v>0</v>
      </c>
      <c r="R62" s="71">
        <v>0</v>
      </c>
      <c r="S62" s="72">
        <v>0</v>
      </c>
      <c r="T62" s="67">
        <v>0</v>
      </c>
      <c r="U62" s="42" t="s">
        <v>339</v>
      </c>
      <c r="V62" s="42" t="s">
        <v>339</v>
      </c>
      <c r="W62" s="42" t="s">
        <v>339</v>
      </c>
      <c r="X62" s="45">
        <v>0</v>
      </c>
      <c r="AI62" s="30">
        <v>0</v>
      </c>
    </row>
    <row r="63" spans="2:35" s="29" customFormat="1" ht="33" customHeight="1">
      <c r="B63" s="50">
        <v>2022</v>
      </c>
      <c r="C63" s="49" t="s">
        <v>149</v>
      </c>
      <c r="D63" s="49" t="s">
        <v>150</v>
      </c>
      <c r="E63" s="46" t="s">
        <v>271</v>
      </c>
      <c r="F63" s="49" t="s">
        <v>94</v>
      </c>
      <c r="G63" s="39" t="s">
        <v>151</v>
      </c>
      <c r="H63" s="39" t="s">
        <v>152</v>
      </c>
      <c r="I63" s="75">
        <v>44840</v>
      </c>
      <c r="J63" s="53"/>
      <c r="K63" s="8">
        <v>5</v>
      </c>
      <c r="L63" s="6" t="s">
        <v>337</v>
      </c>
      <c r="M63" s="8" t="s">
        <v>338</v>
      </c>
      <c r="N63" s="9">
        <v>0</v>
      </c>
      <c r="O63" s="6">
        <v>0</v>
      </c>
      <c r="P63" s="115">
        <v>0</v>
      </c>
      <c r="Q63" s="116">
        <v>0</v>
      </c>
      <c r="R63" s="116">
        <v>0</v>
      </c>
      <c r="S63" s="117">
        <v>0</v>
      </c>
      <c r="T63" s="14">
        <v>0</v>
      </c>
      <c r="U63" s="42" t="s">
        <v>339</v>
      </c>
      <c r="V63" s="42" t="s">
        <v>339</v>
      </c>
      <c r="W63" s="42" t="s">
        <v>339</v>
      </c>
      <c r="X63" s="45">
        <v>0</v>
      </c>
    </row>
    <row r="64" spans="2:35" s="29" customFormat="1" ht="33" customHeight="1">
      <c r="B64" s="50">
        <v>2022</v>
      </c>
      <c r="C64" s="49" t="s">
        <v>145</v>
      </c>
      <c r="D64" s="49" t="s">
        <v>146</v>
      </c>
      <c r="E64" s="46" t="s">
        <v>346</v>
      </c>
      <c r="F64" s="49" t="s">
        <v>10</v>
      </c>
      <c r="G64" s="39" t="s">
        <v>127</v>
      </c>
      <c r="H64" s="39" t="s">
        <v>128</v>
      </c>
      <c r="I64" s="75">
        <v>44841</v>
      </c>
      <c r="J64" s="53"/>
      <c r="K64" s="43">
        <v>1</v>
      </c>
      <c r="L64" s="47" t="s">
        <v>337</v>
      </c>
      <c r="M64" s="43" t="s">
        <v>338</v>
      </c>
      <c r="N64" s="44">
        <v>0</v>
      </c>
      <c r="O64" s="67">
        <v>0</v>
      </c>
      <c r="P64" s="70">
        <v>0</v>
      </c>
      <c r="Q64" s="71">
        <v>0</v>
      </c>
      <c r="R64" s="71">
        <v>0</v>
      </c>
      <c r="S64" s="72">
        <v>0</v>
      </c>
      <c r="T64" s="67">
        <v>0</v>
      </c>
      <c r="U64" s="42" t="s">
        <v>339</v>
      </c>
      <c r="V64" s="42" t="s">
        <v>339</v>
      </c>
      <c r="W64" s="42" t="s">
        <v>339</v>
      </c>
      <c r="X64" s="45">
        <v>0</v>
      </c>
    </row>
    <row r="65" spans="2:35" s="29" customFormat="1" ht="33" customHeight="1">
      <c r="B65" s="50">
        <v>2022</v>
      </c>
      <c r="C65" s="49" t="s">
        <v>137</v>
      </c>
      <c r="D65" s="49" t="s">
        <v>97</v>
      </c>
      <c r="E65" s="46" t="s">
        <v>266</v>
      </c>
      <c r="F65" s="49" t="s">
        <v>104</v>
      </c>
      <c r="G65" s="39" t="s">
        <v>35</v>
      </c>
      <c r="H65" s="39" t="s">
        <v>36</v>
      </c>
      <c r="I65" s="10">
        <v>44868</v>
      </c>
      <c r="J65" s="53"/>
      <c r="K65" s="43">
        <v>3</v>
      </c>
      <c r="L65" s="47" t="s">
        <v>337</v>
      </c>
      <c r="M65" s="67" t="s">
        <v>338</v>
      </c>
      <c r="N65" s="44">
        <v>0</v>
      </c>
      <c r="O65" s="67">
        <v>0</v>
      </c>
      <c r="P65" s="70">
        <v>0</v>
      </c>
      <c r="Q65" s="71">
        <v>0</v>
      </c>
      <c r="R65" s="71">
        <v>0</v>
      </c>
      <c r="S65" s="72">
        <v>0</v>
      </c>
      <c r="T65" s="67">
        <v>0</v>
      </c>
      <c r="U65" s="42" t="s">
        <v>339</v>
      </c>
      <c r="V65" s="42" t="s">
        <v>339</v>
      </c>
      <c r="W65" s="42" t="s">
        <v>339</v>
      </c>
      <c r="X65" s="45">
        <v>0</v>
      </c>
      <c r="AA65" s="29" t="s">
        <v>209</v>
      </c>
      <c r="AD65" s="29" t="e">
        <v>#REF!</v>
      </c>
      <c r="AI65" s="30">
        <v>0</v>
      </c>
    </row>
    <row r="66" spans="2:35" s="29" customFormat="1" ht="33" customHeight="1">
      <c r="B66" s="50">
        <v>2022</v>
      </c>
      <c r="C66" s="49" t="s">
        <v>153</v>
      </c>
      <c r="D66" s="49" t="s">
        <v>154</v>
      </c>
      <c r="E66" s="48" t="s">
        <v>272</v>
      </c>
      <c r="F66" s="49" t="s">
        <v>155</v>
      </c>
      <c r="G66" s="39" t="s">
        <v>11</v>
      </c>
      <c r="H66" s="39" t="s">
        <v>22</v>
      </c>
      <c r="I66" s="75">
        <v>44890</v>
      </c>
      <c r="J66" s="53"/>
      <c r="K66" s="8">
        <v>1</v>
      </c>
      <c r="L66" s="6" t="s">
        <v>337</v>
      </c>
      <c r="M66" s="8" t="s">
        <v>338</v>
      </c>
      <c r="N66" s="9">
        <v>0</v>
      </c>
      <c r="O66" s="6">
        <v>0</v>
      </c>
      <c r="P66" s="115">
        <v>0</v>
      </c>
      <c r="Q66" s="116">
        <v>0</v>
      </c>
      <c r="R66" s="116">
        <v>0</v>
      </c>
      <c r="S66" s="117">
        <v>0</v>
      </c>
      <c r="T66" s="14">
        <v>0</v>
      </c>
      <c r="U66" s="42" t="s">
        <v>339</v>
      </c>
      <c r="V66" s="42" t="s">
        <v>339</v>
      </c>
      <c r="W66" s="42" t="s">
        <v>339</v>
      </c>
      <c r="X66" s="45">
        <v>0</v>
      </c>
      <c r="AA66" s="29" t="e">
        <v>#VALUE!</v>
      </c>
      <c r="AI66" s="30">
        <v>0</v>
      </c>
    </row>
    <row r="67" spans="2:35" s="29" customFormat="1" ht="33" customHeight="1">
      <c r="B67" s="50">
        <v>2023</v>
      </c>
      <c r="C67" s="49" t="s">
        <v>157</v>
      </c>
      <c r="D67" s="49" t="s">
        <v>158</v>
      </c>
      <c r="E67" s="46" t="s">
        <v>274</v>
      </c>
      <c r="F67" s="49" t="s">
        <v>159</v>
      </c>
      <c r="G67" s="39" t="s">
        <v>35</v>
      </c>
      <c r="H67" s="39" t="s">
        <v>36</v>
      </c>
      <c r="I67" s="10">
        <v>44984</v>
      </c>
      <c r="J67" s="53"/>
      <c r="K67" s="43">
        <v>8</v>
      </c>
      <c r="L67" s="47" t="s">
        <v>337</v>
      </c>
      <c r="M67" s="67" t="s">
        <v>338</v>
      </c>
      <c r="N67" s="44">
        <v>0</v>
      </c>
      <c r="O67" s="67">
        <v>0</v>
      </c>
      <c r="P67" s="70">
        <v>0</v>
      </c>
      <c r="Q67" s="71">
        <v>0</v>
      </c>
      <c r="R67" s="71">
        <v>0</v>
      </c>
      <c r="S67" s="72">
        <v>0</v>
      </c>
      <c r="T67" s="67">
        <v>0</v>
      </c>
      <c r="U67" s="42" t="s">
        <v>339</v>
      </c>
      <c r="V67" s="42" t="s">
        <v>339</v>
      </c>
      <c r="W67" s="42" t="s">
        <v>339</v>
      </c>
      <c r="X67" s="45">
        <v>0</v>
      </c>
      <c r="AA67" s="34" t="e">
        <v>#VALUE!</v>
      </c>
      <c r="AI67" s="30">
        <v>0</v>
      </c>
    </row>
    <row r="68" spans="2:35" s="29" customFormat="1" ht="33" customHeight="1">
      <c r="B68" s="50">
        <v>2023</v>
      </c>
      <c r="C68" s="49" t="s">
        <v>160</v>
      </c>
      <c r="D68" s="49" t="s">
        <v>161</v>
      </c>
      <c r="E68" s="48" t="s">
        <v>275</v>
      </c>
      <c r="F68" s="49" t="s">
        <v>10</v>
      </c>
      <c r="G68" s="39" t="s">
        <v>11</v>
      </c>
      <c r="H68" s="39" t="s">
        <v>22</v>
      </c>
      <c r="I68" s="75">
        <v>44992</v>
      </c>
      <c r="J68" s="53"/>
      <c r="K68" s="8">
        <v>1</v>
      </c>
      <c r="L68" s="6" t="s">
        <v>337</v>
      </c>
      <c r="M68" s="8" t="s">
        <v>338</v>
      </c>
      <c r="N68" s="9">
        <v>0</v>
      </c>
      <c r="O68" s="6">
        <v>0</v>
      </c>
      <c r="P68" s="115">
        <v>0</v>
      </c>
      <c r="Q68" s="116">
        <v>0</v>
      </c>
      <c r="R68" s="116">
        <v>0</v>
      </c>
      <c r="S68" s="117">
        <v>0</v>
      </c>
      <c r="T68" s="14">
        <v>0</v>
      </c>
      <c r="U68" s="42" t="s">
        <v>339</v>
      </c>
      <c r="V68" s="42" t="s">
        <v>339</v>
      </c>
      <c r="W68" s="42" t="s">
        <v>339</v>
      </c>
      <c r="X68" s="45">
        <v>0</v>
      </c>
      <c r="AI68" s="30">
        <v>0</v>
      </c>
    </row>
    <row r="69" spans="2:35" s="29" customFormat="1" ht="33" customHeight="1">
      <c r="B69" s="50">
        <v>2023</v>
      </c>
      <c r="C69" s="49" t="s">
        <v>164</v>
      </c>
      <c r="D69" s="49" t="s">
        <v>165</v>
      </c>
      <c r="E69" s="46" t="s">
        <v>287</v>
      </c>
      <c r="F69" s="49" t="s">
        <v>166</v>
      </c>
      <c r="G69" s="39" t="s">
        <v>95</v>
      </c>
      <c r="H69" s="39" t="s">
        <v>142</v>
      </c>
      <c r="I69" s="75">
        <v>44995</v>
      </c>
      <c r="J69" s="53"/>
      <c r="K69" s="8">
        <v>3</v>
      </c>
      <c r="L69" s="6" t="s">
        <v>336</v>
      </c>
      <c r="M69" s="8">
        <v>0</v>
      </c>
      <c r="N69" s="9">
        <v>0</v>
      </c>
      <c r="O69" s="6">
        <v>6</v>
      </c>
      <c r="P69" s="115">
        <v>0</v>
      </c>
      <c r="Q69" s="116">
        <v>0</v>
      </c>
      <c r="R69" s="116">
        <v>0</v>
      </c>
      <c r="S69" s="117">
        <v>6</v>
      </c>
      <c r="T69" s="14">
        <v>0</v>
      </c>
      <c r="U69" s="42" t="s">
        <v>339</v>
      </c>
      <c r="V69" s="42" t="s">
        <v>339</v>
      </c>
      <c r="W69" s="42" t="s">
        <v>339</v>
      </c>
      <c r="X69" s="45">
        <v>0</v>
      </c>
    </row>
    <row r="70" spans="2:35" s="29" customFormat="1" ht="33" customHeight="1">
      <c r="B70" s="50">
        <v>2023</v>
      </c>
      <c r="C70" s="49" t="s">
        <v>167</v>
      </c>
      <c r="D70" s="49" t="s">
        <v>43</v>
      </c>
      <c r="E70" s="39" t="s">
        <v>276</v>
      </c>
      <c r="F70" s="49" t="s">
        <v>94</v>
      </c>
      <c r="G70" s="39" t="s">
        <v>45</v>
      </c>
      <c r="H70" s="39" t="s">
        <v>46</v>
      </c>
      <c r="I70" s="10">
        <v>45013</v>
      </c>
      <c r="J70" s="53"/>
      <c r="K70" s="43">
        <v>6</v>
      </c>
      <c r="L70" s="47" t="s">
        <v>336</v>
      </c>
      <c r="M70" s="43">
        <v>0</v>
      </c>
      <c r="N70" s="44">
        <v>0</v>
      </c>
      <c r="O70" s="67">
        <v>5</v>
      </c>
      <c r="P70" s="70">
        <v>0</v>
      </c>
      <c r="Q70" s="71">
        <v>0</v>
      </c>
      <c r="R70" s="71">
        <v>0</v>
      </c>
      <c r="S70" s="72">
        <v>5</v>
      </c>
      <c r="T70" s="67">
        <v>0</v>
      </c>
      <c r="U70" s="42" t="s">
        <v>339</v>
      </c>
      <c r="V70" s="42" t="s">
        <v>339</v>
      </c>
      <c r="W70" s="42" t="s">
        <v>339</v>
      </c>
      <c r="X70" s="45">
        <v>0</v>
      </c>
      <c r="AI70" s="30">
        <v>5</v>
      </c>
    </row>
    <row r="71" spans="2:35" s="29" customFormat="1" ht="33" customHeight="1">
      <c r="B71" s="50">
        <v>2023</v>
      </c>
      <c r="C71" s="49" t="s">
        <v>331</v>
      </c>
      <c r="D71" s="49" t="s">
        <v>162</v>
      </c>
      <c r="E71" s="46" t="s">
        <v>291</v>
      </c>
      <c r="F71" s="49" t="s">
        <v>15</v>
      </c>
      <c r="G71" s="39" t="s">
        <v>11</v>
      </c>
      <c r="H71" s="39" t="s">
        <v>163</v>
      </c>
      <c r="I71" s="75">
        <v>45041</v>
      </c>
      <c r="J71" s="53"/>
      <c r="K71" s="8">
        <v>8</v>
      </c>
      <c r="L71" s="6" t="s">
        <v>337</v>
      </c>
      <c r="M71" s="8" t="s">
        <v>338</v>
      </c>
      <c r="N71" s="9">
        <v>0</v>
      </c>
      <c r="O71" s="6">
        <v>0</v>
      </c>
      <c r="P71" s="115">
        <v>0</v>
      </c>
      <c r="Q71" s="116">
        <v>0</v>
      </c>
      <c r="R71" s="116">
        <v>0</v>
      </c>
      <c r="S71" s="117">
        <v>0</v>
      </c>
      <c r="T71" s="14">
        <v>0</v>
      </c>
      <c r="U71" s="42" t="s">
        <v>339</v>
      </c>
      <c r="V71" s="42" t="s">
        <v>339</v>
      </c>
      <c r="W71" s="42" t="s">
        <v>339</v>
      </c>
      <c r="X71" s="45">
        <v>0</v>
      </c>
      <c r="AA71" s="29" t="s">
        <v>209</v>
      </c>
      <c r="AD71" s="29" t="e">
        <v>#REF!</v>
      </c>
      <c r="AI71" s="30">
        <v>0</v>
      </c>
    </row>
    <row r="72" spans="2:35" s="29" customFormat="1" ht="33" customHeight="1">
      <c r="B72" s="50">
        <v>2023</v>
      </c>
      <c r="C72" s="49" t="s">
        <v>168</v>
      </c>
      <c r="D72" s="49" t="s">
        <v>169</v>
      </c>
      <c r="E72" s="46" t="s">
        <v>313</v>
      </c>
      <c r="F72" s="49" t="s">
        <v>159</v>
      </c>
      <c r="G72" s="39" t="s">
        <v>35</v>
      </c>
      <c r="H72" s="39" t="s">
        <v>36</v>
      </c>
      <c r="I72" s="10">
        <v>45049</v>
      </c>
      <c r="J72" s="53"/>
      <c r="K72" s="43">
        <v>9</v>
      </c>
      <c r="L72" s="47" t="s">
        <v>337</v>
      </c>
      <c r="M72" s="67" t="s">
        <v>338</v>
      </c>
      <c r="N72" s="44">
        <v>0</v>
      </c>
      <c r="O72" s="67">
        <v>0</v>
      </c>
      <c r="P72" s="70">
        <v>0</v>
      </c>
      <c r="Q72" s="71">
        <v>0</v>
      </c>
      <c r="R72" s="71">
        <v>0</v>
      </c>
      <c r="S72" s="72">
        <v>0</v>
      </c>
      <c r="T72" s="67">
        <v>0</v>
      </c>
      <c r="U72" s="42" t="s">
        <v>339</v>
      </c>
      <c r="V72" s="42" t="s">
        <v>339</v>
      </c>
      <c r="W72" s="42" t="s">
        <v>339</v>
      </c>
      <c r="X72" s="45">
        <v>0</v>
      </c>
      <c r="AA72" s="34" t="e">
        <v>#VALUE!</v>
      </c>
      <c r="AI72" s="30">
        <v>0</v>
      </c>
    </row>
    <row r="73" spans="2:35" s="29" customFormat="1" ht="33" customHeight="1">
      <c r="B73" s="50">
        <v>2023</v>
      </c>
      <c r="C73" s="39" t="s">
        <v>283</v>
      </c>
      <c r="D73" s="39" t="s">
        <v>170</v>
      </c>
      <c r="E73" s="39" t="s">
        <v>282</v>
      </c>
      <c r="F73" s="49" t="s">
        <v>166</v>
      </c>
      <c r="G73" s="39" t="s">
        <v>105</v>
      </c>
      <c r="H73" s="39" t="s">
        <v>106</v>
      </c>
      <c r="I73" s="76">
        <v>45097</v>
      </c>
      <c r="J73" s="53"/>
      <c r="K73" s="8">
        <v>4</v>
      </c>
      <c r="L73" s="6" t="s">
        <v>337</v>
      </c>
      <c r="M73" s="8" t="s">
        <v>338</v>
      </c>
      <c r="N73" s="9">
        <v>0</v>
      </c>
      <c r="O73" s="6">
        <v>0</v>
      </c>
      <c r="P73" s="115">
        <v>0</v>
      </c>
      <c r="Q73" s="116">
        <v>0</v>
      </c>
      <c r="R73" s="116">
        <v>0</v>
      </c>
      <c r="S73" s="117">
        <v>0</v>
      </c>
      <c r="T73" s="14">
        <v>0</v>
      </c>
      <c r="U73" s="42" t="s">
        <v>339</v>
      </c>
      <c r="V73" s="42" t="s">
        <v>339</v>
      </c>
      <c r="W73" s="42" t="s">
        <v>339</v>
      </c>
      <c r="X73" s="45">
        <v>0</v>
      </c>
    </row>
    <row r="74" spans="2:35" s="29" customFormat="1" ht="33" customHeight="1">
      <c r="B74" s="50">
        <v>2023</v>
      </c>
      <c r="C74" s="39" t="s">
        <v>285</v>
      </c>
      <c r="D74" s="39" t="s">
        <v>170</v>
      </c>
      <c r="E74" s="39" t="s">
        <v>284</v>
      </c>
      <c r="F74" s="49" t="s">
        <v>171</v>
      </c>
      <c r="G74" s="39" t="s">
        <v>105</v>
      </c>
      <c r="H74" s="39" t="s">
        <v>106</v>
      </c>
      <c r="I74" s="76">
        <v>45112</v>
      </c>
      <c r="J74" s="53"/>
      <c r="K74" s="8">
        <v>3</v>
      </c>
      <c r="L74" s="6" t="s">
        <v>336</v>
      </c>
      <c r="M74" s="8">
        <v>0</v>
      </c>
      <c r="N74" s="9">
        <v>0</v>
      </c>
      <c r="O74" s="6">
        <v>6</v>
      </c>
      <c r="P74" s="115">
        <v>0</v>
      </c>
      <c r="Q74" s="116">
        <v>0</v>
      </c>
      <c r="R74" s="116">
        <v>0</v>
      </c>
      <c r="S74" s="117">
        <v>6</v>
      </c>
      <c r="T74" s="14">
        <v>0</v>
      </c>
      <c r="U74" s="42" t="s">
        <v>339</v>
      </c>
      <c r="V74" s="42" t="s">
        <v>339</v>
      </c>
      <c r="W74" s="42" t="s">
        <v>339</v>
      </c>
      <c r="X74" s="45">
        <v>0</v>
      </c>
    </row>
    <row r="75" spans="2:35" s="29" customFormat="1" ht="33" customHeight="1">
      <c r="B75" s="50">
        <v>2023</v>
      </c>
      <c r="C75" s="49" t="s">
        <v>176</v>
      </c>
      <c r="D75" s="49" t="s">
        <v>176</v>
      </c>
      <c r="E75" s="46" t="s">
        <v>278</v>
      </c>
      <c r="F75" s="49" t="s">
        <v>159</v>
      </c>
      <c r="G75" s="39" t="s">
        <v>35</v>
      </c>
      <c r="H75" s="39" t="s">
        <v>36</v>
      </c>
      <c r="I75" s="10">
        <v>45119</v>
      </c>
      <c r="J75" s="53"/>
      <c r="K75" s="43">
        <v>7</v>
      </c>
      <c r="L75" s="47" t="s">
        <v>337</v>
      </c>
      <c r="M75" s="67" t="s">
        <v>338</v>
      </c>
      <c r="N75" s="44">
        <v>0</v>
      </c>
      <c r="O75" s="67">
        <v>0</v>
      </c>
      <c r="P75" s="70">
        <v>0</v>
      </c>
      <c r="Q75" s="71">
        <v>0</v>
      </c>
      <c r="R75" s="71">
        <v>0</v>
      </c>
      <c r="S75" s="72">
        <v>0</v>
      </c>
      <c r="T75" s="67">
        <v>0</v>
      </c>
      <c r="U75" s="42" t="s">
        <v>339</v>
      </c>
      <c r="V75" s="42" t="s">
        <v>339</v>
      </c>
      <c r="W75" s="42" t="s">
        <v>339</v>
      </c>
      <c r="X75" s="45">
        <v>0</v>
      </c>
      <c r="AA75" s="29">
        <v>1</v>
      </c>
      <c r="AB75" s="29">
        <v>1</v>
      </c>
      <c r="AC75" s="29">
        <v>1</v>
      </c>
      <c r="AD75" s="32" t="e">
        <v>#REF!</v>
      </c>
      <c r="AI75" s="30">
        <v>0</v>
      </c>
    </row>
    <row r="76" spans="2:35" s="29" customFormat="1" ht="33" customHeight="1">
      <c r="B76" s="50">
        <v>2023</v>
      </c>
      <c r="C76" s="49" t="s">
        <v>330</v>
      </c>
      <c r="D76" s="49" t="s">
        <v>174</v>
      </c>
      <c r="E76" s="46" t="s">
        <v>292</v>
      </c>
      <c r="F76" s="49" t="s">
        <v>175</v>
      </c>
      <c r="G76" s="39" t="s">
        <v>11</v>
      </c>
      <c r="H76" s="39" t="s">
        <v>163</v>
      </c>
      <c r="I76" s="75">
        <v>45125</v>
      </c>
      <c r="J76" s="53"/>
      <c r="K76" s="8">
        <v>5</v>
      </c>
      <c r="L76" s="6" t="s">
        <v>337</v>
      </c>
      <c r="M76" s="8" t="s">
        <v>338</v>
      </c>
      <c r="N76" s="9">
        <v>0</v>
      </c>
      <c r="O76" s="6">
        <v>0</v>
      </c>
      <c r="P76" s="115">
        <v>0</v>
      </c>
      <c r="Q76" s="116">
        <v>0</v>
      </c>
      <c r="R76" s="116">
        <v>0</v>
      </c>
      <c r="S76" s="117">
        <v>0</v>
      </c>
      <c r="T76" s="14">
        <v>0</v>
      </c>
      <c r="U76" s="42" t="s">
        <v>339</v>
      </c>
      <c r="V76" s="42" t="s">
        <v>339</v>
      </c>
      <c r="W76" s="42" t="s">
        <v>339</v>
      </c>
      <c r="X76" s="45">
        <v>0</v>
      </c>
      <c r="AA76" s="34" t="e">
        <v>#VALUE!</v>
      </c>
      <c r="AI76" s="30">
        <v>0</v>
      </c>
    </row>
    <row r="77" spans="2:35" s="29" customFormat="1" ht="33" customHeight="1">
      <c r="B77" s="50">
        <v>2023</v>
      </c>
      <c r="C77" s="49" t="s">
        <v>172</v>
      </c>
      <c r="D77" s="49" t="s">
        <v>173</v>
      </c>
      <c r="E77" s="46" t="s">
        <v>277</v>
      </c>
      <c r="F77" s="49" t="s">
        <v>166</v>
      </c>
      <c r="G77" s="39" t="s">
        <v>35</v>
      </c>
      <c r="H77" s="39" t="s">
        <v>36</v>
      </c>
      <c r="I77" s="10">
        <v>45126</v>
      </c>
      <c r="J77" s="53"/>
      <c r="K77" s="43">
        <v>0</v>
      </c>
      <c r="L77" s="47" t="s">
        <v>340</v>
      </c>
      <c r="M77" s="67" t="s">
        <v>338</v>
      </c>
      <c r="N77" s="44">
        <v>0</v>
      </c>
      <c r="O77" s="67">
        <v>0</v>
      </c>
      <c r="P77" s="70">
        <v>0</v>
      </c>
      <c r="Q77" s="71">
        <v>0</v>
      </c>
      <c r="R77" s="71">
        <v>0</v>
      </c>
      <c r="S77" s="72">
        <v>0</v>
      </c>
      <c r="T77" s="67">
        <v>0</v>
      </c>
      <c r="U77" s="42" t="s">
        <v>339</v>
      </c>
      <c r="V77" s="42" t="s">
        <v>339</v>
      </c>
      <c r="W77" s="42" t="s">
        <v>339</v>
      </c>
      <c r="X77" s="45" t="s">
        <v>339</v>
      </c>
      <c r="AI77" s="30">
        <v>0</v>
      </c>
    </row>
    <row r="78" spans="2:35" s="29" customFormat="1" ht="33" customHeight="1">
      <c r="B78" s="50">
        <v>2023</v>
      </c>
      <c r="C78" s="49" t="s">
        <v>177</v>
      </c>
      <c r="D78" s="49" t="s">
        <v>178</v>
      </c>
      <c r="E78" s="48" t="s">
        <v>279</v>
      </c>
      <c r="F78" s="49" t="s">
        <v>10</v>
      </c>
      <c r="G78" s="39" t="s">
        <v>11</v>
      </c>
      <c r="H78" s="39" t="s">
        <v>118</v>
      </c>
      <c r="I78" s="75">
        <v>45154</v>
      </c>
      <c r="J78" s="53"/>
      <c r="K78" s="8">
        <v>3</v>
      </c>
      <c r="L78" s="6" t="s">
        <v>337</v>
      </c>
      <c r="M78" s="8" t="s">
        <v>338</v>
      </c>
      <c r="N78" s="9">
        <v>0</v>
      </c>
      <c r="O78" s="6">
        <v>0</v>
      </c>
      <c r="P78" s="115">
        <v>0</v>
      </c>
      <c r="Q78" s="116">
        <v>0</v>
      </c>
      <c r="R78" s="116">
        <v>0</v>
      </c>
      <c r="S78" s="117">
        <v>0</v>
      </c>
      <c r="T78" s="14">
        <v>0</v>
      </c>
      <c r="U78" s="42" t="s">
        <v>339</v>
      </c>
      <c r="V78" s="42" t="s">
        <v>339</v>
      </c>
      <c r="W78" s="42" t="s">
        <v>339</v>
      </c>
      <c r="X78" s="45">
        <v>0</v>
      </c>
      <c r="AI78" s="30">
        <v>0</v>
      </c>
    </row>
    <row r="79" spans="2:35" s="29" customFormat="1" ht="33" customHeight="1">
      <c r="B79" s="50">
        <v>2023</v>
      </c>
      <c r="C79" s="49" t="s">
        <v>179</v>
      </c>
      <c r="D79" s="49" t="s">
        <v>180</v>
      </c>
      <c r="E79" s="46" t="s">
        <v>315</v>
      </c>
      <c r="F79" s="49" t="s">
        <v>181</v>
      </c>
      <c r="G79" s="39" t="s">
        <v>35</v>
      </c>
      <c r="H79" s="39" t="s">
        <v>36</v>
      </c>
      <c r="I79" s="10">
        <v>45167</v>
      </c>
      <c r="J79" s="53"/>
      <c r="K79" s="43">
        <v>6</v>
      </c>
      <c r="L79" s="47" t="s">
        <v>337</v>
      </c>
      <c r="M79" s="67" t="s">
        <v>338</v>
      </c>
      <c r="N79" s="44">
        <v>0</v>
      </c>
      <c r="O79" s="67">
        <v>0</v>
      </c>
      <c r="P79" s="70">
        <v>0</v>
      </c>
      <c r="Q79" s="71">
        <v>0</v>
      </c>
      <c r="R79" s="71">
        <v>0</v>
      </c>
      <c r="S79" s="72">
        <v>0</v>
      </c>
      <c r="T79" s="67">
        <v>0</v>
      </c>
      <c r="U79" s="42" t="s">
        <v>339</v>
      </c>
      <c r="V79" s="42" t="s">
        <v>339</v>
      </c>
      <c r="W79" s="42" t="s">
        <v>339</v>
      </c>
      <c r="X79" s="45">
        <v>0</v>
      </c>
      <c r="AA79" s="29" t="s">
        <v>209</v>
      </c>
      <c r="AD79" s="29" t="e">
        <v>#REF!</v>
      </c>
      <c r="AI79" s="30">
        <v>0</v>
      </c>
    </row>
    <row r="80" spans="2:35" s="29" customFormat="1" ht="33" customHeight="1">
      <c r="B80" s="50">
        <v>2023</v>
      </c>
      <c r="C80" s="49" t="s">
        <v>182</v>
      </c>
      <c r="D80" s="49" t="s">
        <v>183</v>
      </c>
      <c r="E80" s="46" t="s">
        <v>280</v>
      </c>
      <c r="F80" s="49" t="s">
        <v>184</v>
      </c>
      <c r="G80" s="39" t="s">
        <v>82</v>
      </c>
      <c r="H80" s="39" t="s">
        <v>67</v>
      </c>
      <c r="I80" s="75">
        <v>45208</v>
      </c>
      <c r="J80" s="53"/>
      <c r="K80" s="8">
        <v>7</v>
      </c>
      <c r="L80" s="6" t="s">
        <v>336</v>
      </c>
      <c r="M80" s="8">
        <v>0</v>
      </c>
      <c r="N80" s="9">
        <v>0</v>
      </c>
      <c r="O80" s="6">
        <v>14</v>
      </c>
      <c r="P80" s="115">
        <v>0</v>
      </c>
      <c r="Q80" s="116">
        <v>0</v>
      </c>
      <c r="R80" s="116">
        <v>0</v>
      </c>
      <c r="S80" s="117">
        <v>14</v>
      </c>
      <c r="T80" s="14">
        <v>0</v>
      </c>
      <c r="U80" s="42" t="s">
        <v>339</v>
      </c>
      <c r="V80" s="42" t="s">
        <v>339</v>
      </c>
      <c r="W80" s="42" t="s">
        <v>339</v>
      </c>
      <c r="X80" s="45">
        <v>0</v>
      </c>
      <c r="AI80" s="30">
        <v>14</v>
      </c>
    </row>
    <row r="81" spans="2:35" s="29" customFormat="1" ht="33" customHeight="1">
      <c r="B81" s="50">
        <v>2023</v>
      </c>
      <c r="C81" s="49" t="s">
        <v>328</v>
      </c>
      <c r="D81" s="49" t="s">
        <v>187</v>
      </c>
      <c r="E81" s="46" t="s">
        <v>314</v>
      </c>
      <c r="F81" s="49" t="s">
        <v>159</v>
      </c>
      <c r="G81" s="39" t="s">
        <v>35</v>
      </c>
      <c r="H81" s="39" t="s">
        <v>36</v>
      </c>
      <c r="I81" s="65">
        <v>45225</v>
      </c>
      <c r="J81" s="53"/>
      <c r="K81" s="43">
        <v>5</v>
      </c>
      <c r="L81" s="47" t="s">
        <v>337</v>
      </c>
      <c r="M81" s="67" t="s">
        <v>338</v>
      </c>
      <c r="N81" s="44">
        <v>0</v>
      </c>
      <c r="O81" s="67">
        <v>0</v>
      </c>
      <c r="P81" s="70">
        <v>0</v>
      </c>
      <c r="Q81" s="71">
        <v>0</v>
      </c>
      <c r="R81" s="71">
        <v>0</v>
      </c>
      <c r="S81" s="72">
        <v>0</v>
      </c>
      <c r="T81" s="67">
        <v>0</v>
      </c>
      <c r="U81" s="42" t="s">
        <v>339</v>
      </c>
      <c r="V81" s="42" t="s">
        <v>339</v>
      </c>
      <c r="W81" s="42" t="s">
        <v>339</v>
      </c>
      <c r="X81" s="45">
        <v>0</v>
      </c>
    </row>
    <row r="82" spans="2:35" s="29" customFormat="1" ht="33" customHeight="1">
      <c r="B82" s="50">
        <v>2023</v>
      </c>
      <c r="C82" s="49" t="s">
        <v>348</v>
      </c>
      <c r="D82" s="39" t="s">
        <v>170</v>
      </c>
      <c r="E82" s="39" t="s">
        <v>286</v>
      </c>
      <c r="F82" s="49" t="s">
        <v>166</v>
      </c>
      <c r="G82" s="39" t="s">
        <v>105</v>
      </c>
      <c r="H82" s="39" t="s">
        <v>106</v>
      </c>
      <c r="I82" s="76">
        <v>45239</v>
      </c>
      <c r="J82" s="53"/>
      <c r="K82" s="8">
        <v>2</v>
      </c>
      <c r="L82" s="6" t="s">
        <v>337</v>
      </c>
      <c r="M82" s="8" t="s">
        <v>338</v>
      </c>
      <c r="N82" s="9">
        <v>0</v>
      </c>
      <c r="O82" s="6">
        <v>0</v>
      </c>
      <c r="P82" s="115">
        <v>0</v>
      </c>
      <c r="Q82" s="116">
        <v>0</v>
      </c>
      <c r="R82" s="116">
        <v>0</v>
      </c>
      <c r="S82" s="117">
        <v>0</v>
      </c>
      <c r="T82" s="14">
        <v>0</v>
      </c>
      <c r="U82" s="42" t="s">
        <v>339</v>
      </c>
      <c r="V82" s="42" t="s">
        <v>339</v>
      </c>
      <c r="W82" s="42" t="s">
        <v>339</v>
      </c>
      <c r="X82" s="45">
        <v>0</v>
      </c>
    </row>
    <row r="83" spans="2:35" s="29" customFormat="1" ht="33" customHeight="1">
      <c r="B83" s="50">
        <v>2023</v>
      </c>
      <c r="C83" s="49" t="s">
        <v>325</v>
      </c>
      <c r="D83" s="39" t="s">
        <v>290</v>
      </c>
      <c r="E83" s="46" t="s">
        <v>289</v>
      </c>
      <c r="F83" s="49" t="s">
        <v>166</v>
      </c>
      <c r="G83" s="39" t="s">
        <v>40</v>
      </c>
      <c r="H83" s="39" t="s">
        <v>41</v>
      </c>
      <c r="I83" s="65">
        <v>45240</v>
      </c>
      <c r="J83" s="53"/>
      <c r="K83" s="43">
        <v>3</v>
      </c>
      <c r="L83" s="47" t="s">
        <v>337</v>
      </c>
      <c r="M83" s="43" t="s">
        <v>338</v>
      </c>
      <c r="N83" s="44">
        <v>0</v>
      </c>
      <c r="O83" s="67">
        <v>0</v>
      </c>
      <c r="P83" s="70">
        <v>0</v>
      </c>
      <c r="Q83" s="71">
        <v>0</v>
      </c>
      <c r="R83" s="71">
        <v>0</v>
      </c>
      <c r="S83" s="72">
        <v>0</v>
      </c>
      <c r="T83" s="67">
        <v>0</v>
      </c>
      <c r="U83" s="42" t="s">
        <v>339</v>
      </c>
      <c r="V83" s="42" t="s">
        <v>339</v>
      </c>
      <c r="W83" s="42" t="s">
        <v>339</v>
      </c>
      <c r="X83" s="45">
        <v>0</v>
      </c>
    </row>
    <row r="84" spans="2:35" s="29" customFormat="1" ht="33" customHeight="1">
      <c r="B84" s="50">
        <v>2023</v>
      </c>
      <c r="C84" s="39" t="s">
        <v>329</v>
      </c>
      <c r="D84" s="39" t="s">
        <v>281</v>
      </c>
      <c r="E84" s="46" t="s">
        <v>293</v>
      </c>
      <c r="F84" s="49" t="s">
        <v>192</v>
      </c>
      <c r="G84" s="39" t="s">
        <v>11</v>
      </c>
      <c r="H84" s="39" t="s">
        <v>163</v>
      </c>
      <c r="I84" s="76">
        <v>45250</v>
      </c>
      <c r="J84" s="53"/>
      <c r="K84" s="8">
        <v>5</v>
      </c>
      <c r="L84" s="6" t="s">
        <v>337</v>
      </c>
      <c r="M84" s="8" t="s">
        <v>338</v>
      </c>
      <c r="N84" s="9">
        <v>0</v>
      </c>
      <c r="O84" s="6">
        <v>0</v>
      </c>
      <c r="P84" s="115">
        <v>0</v>
      </c>
      <c r="Q84" s="116">
        <v>0</v>
      </c>
      <c r="R84" s="116">
        <v>0</v>
      </c>
      <c r="S84" s="117">
        <v>0</v>
      </c>
      <c r="T84" s="14">
        <v>0</v>
      </c>
      <c r="U84" s="42" t="s">
        <v>339</v>
      </c>
      <c r="V84" s="42" t="s">
        <v>339</v>
      </c>
      <c r="W84" s="42" t="s">
        <v>339</v>
      </c>
      <c r="X84" s="45">
        <v>0</v>
      </c>
      <c r="AI84" s="30">
        <v>0</v>
      </c>
    </row>
    <row r="85" spans="2:35" s="29" customFormat="1" ht="33" customHeight="1">
      <c r="B85" s="50">
        <v>2023</v>
      </c>
      <c r="C85" s="49" t="s">
        <v>326</v>
      </c>
      <c r="D85" s="49" t="s">
        <v>185</v>
      </c>
      <c r="E85" s="46" t="s">
        <v>288</v>
      </c>
      <c r="F85" s="49" t="s">
        <v>94</v>
      </c>
      <c r="G85" s="39" t="s">
        <v>50</v>
      </c>
      <c r="H85" s="39" t="s">
        <v>186</v>
      </c>
      <c r="I85" s="75">
        <v>45253</v>
      </c>
      <c r="J85" s="53"/>
      <c r="K85" s="8">
        <v>9</v>
      </c>
      <c r="L85" s="6" t="s">
        <v>337</v>
      </c>
      <c r="M85" s="8" t="s">
        <v>338</v>
      </c>
      <c r="N85" s="9">
        <v>0</v>
      </c>
      <c r="O85" s="6">
        <v>0</v>
      </c>
      <c r="P85" s="115">
        <v>0</v>
      </c>
      <c r="Q85" s="116">
        <v>0</v>
      </c>
      <c r="R85" s="116">
        <v>0</v>
      </c>
      <c r="S85" s="117">
        <v>0</v>
      </c>
      <c r="T85" s="14">
        <v>0</v>
      </c>
      <c r="U85" s="42" t="s">
        <v>339</v>
      </c>
      <c r="V85" s="42" t="s">
        <v>339</v>
      </c>
      <c r="W85" s="42" t="s">
        <v>339</v>
      </c>
      <c r="X85" s="45">
        <v>0</v>
      </c>
    </row>
    <row r="86" spans="2:35" s="29" customFormat="1" ht="33" customHeight="1">
      <c r="B86" s="50">
        <v>2023</v>
      </c>
      <c r="C86" s="49" t="s">
        <v>343</v>
      </c>
      <c r="D86" s="39" t="s">
        <v>341</v>
      </c>
      <c r="E86" s="39" t="s">
        <v>347</v>
      </c>
      <c r="F86" s="49" t="s">
        <v>342</v>
      </c>
      <c r="G86" s="39" t="s">
        <v>35</v>
      </c>
      <c r="H86" s="39" t="s">
        <v>36</v>
      </c>
      <c r="I86" s="65">
        <v>45287</v>
      </c>
      <c r="J86" s="28"/>
      <c r="K86" s="43">
        <v>1</v>
      </c>
      <c r="L86" s="47" t="s">
        <v>337</v>
      </c>
      <c r="M86" s="43" t="s">
        <v>338</v>
      </c>
      <c r="N86" s="44">
        <v>0</v>
      </c>
      <c r="O86" s="67">
        <v>0</v>
      </c>
      <c r="P86" s="70">
        <v>0</v>
      </c>
      <c r="Q86" s="71">
        <v>0</v>
      </c>
      <c r="R86" s="71">
        <v>0</v>
      </c>
      <c r="S86" s="72">
        <v>0</v>
      </c>
      <c r="T86" s="67">
        <v>0</v>
      </c>
      <c r="U86" s="42" t="s">
        <v>339</v>
      </c>
      <c r="V86" s="42" t="s">
        <v>339</v>
      </c>
      <c r="W86" s="42" t="s">
        <v>339</v>
      </c>
      <c r="X86" s="45">
        <v>0</v>
      </c>
    </row>
    <row r="87" spans="2:35" s="29" customFormat="1" ht="33" customHeight="1">
      <c r="B87" s="50">
        <v>2023</v>
      </c>
      <c r="C87" s="39" t="s">
        <v>356</v>
      </c>
      <c r="D87" s="39" t="s">
        <v>170</v>
      </c>
      <c r="E87" s="39" t="s">
        <v>357</v>
      </c>
      <c r="F87" s="49" t="s">
        <v>166</v>
      </c>
      <c r="G87" s="39" t="s">
        <v>105</v>
      </c>
      <c r="H87" s="39" t="s">
        <v>106</v>
      </c>
      <c r="I87" s="65">
        <v>45279</v>
      </c>
      <c r="J87" s="28"/>
      <c r="K87" s="43">
        <v>5</v>
      </c>
      <c r="L87" s="47" t="s">
        <v>337</v>
      </c>
      <c r="M87" s="43" t="s">
        <v>338</v>
      </c>
      <c r="N87" s="44">
        <v>0</v>
      </c>
      <c r="O87" s="67">
        <v>0</v>
      </c>
      <c r="P87" s="70">
        <v>0</v>
      </c>
      <c r="Q87" s="71">
        <v>0</v>
      </c>
      <c r="R87" s="71">
        <v>0</v>
      </c>
      <c r="S87" s="72">
        <v>0</v>
      </c>
      <c r="T87" s="67">
        <v>0</v>
      </c>
      <c r="U87" s="42" t="s">
        <v>339</v>
      </c>
      <c r="V87" s="42" t="s">
        <v>339</v>
      </c>
      <c r="W87" s="42" t="s">
        <v>339</v>
      </c>
      <c r="X87" s="45">
        <v>0</v>
      </c>
    </row>
    <row r="88" spans="2:35" s="29" customFormat="1" ht="33" customHeight="1">
      <c r="B88" s="50"/>
      <c r="C88" s="49"/>
      <c r="D88" s="39"/>
      <c r="E88" s="39"/>
      <c r="F88" s="49"/>
      <c r="G88" s="39"/>
      <c r="H88" s="39"/>
      <c r="I88" s="50"/>
      <c r="J88" s="28"/>
      <c r="K88" s="43"/>
      <c r="L88" s="47" t="s">
        <v>338</v>
      </c>
      <c r="M88" s="43"/>
      <c r="N88" s="44"/>
      <c r="O88" s="67"/>
      <c r="P88" s="70"/>
      <c r="Q88" s="71"/>
      <c r="R88" s="71"/>
      <c r="S88" s="72"/>
      <c r="T88" s="67"/>
      <c r="U88" s="42" t="s">
        <v>338</v>
      </c>
      <c r="V88" s="42" t="s">
        <v>338</v>
      </c>
      <c r="W88" s="42" t="s">
        <v>338</v>
      </c>
      <c r="X88" s="45" t="s">
        <v>338</v>
      </c>
    </row>
    <row r="89" spans="2:35" s="29" customFormat="1" ht="33" customHeight="1">
      <c r="B89" s="50"/>
      <c r="C89" s="49"/>
      <c r="D89" s="39"/>
      <c r="E89" s="39"/>
      <c r="F89" s="49"/>
      <c r="G89" s="39"/>
      <c r="H89" s="39"/>
      <c r="I89" s="50"/>
      <c r="J89" s="28"/>
      <c r="K89" s="43"/>
      <c r="L89" s="47" t="s">
        <v>338</v>
      </c>
      <c r="M89" s="43"/>
      <c r="N89" s="44"/>
      <c r="O89" s="67"/>
      <c r="P89" s="70"/>
      <c r="Q89" s="71"/>
      <c r="R89" s="71"/>
      <c r="S89" s="72"/>
      <c r="T89" s="67"/>
      <c r="U89" s="42" t="s">
        <v>338</v>
      </c>
      <c r="V89" s="42" t="s">
        <v>338</v>
      </c>
      <c r="W89" s="42" t="s">
        <v>338</v>
      </c>
      <c r="X89" s="45" t="s">
        <v>338</v>
      </c>
    </row>
    <row r="90" spans="2:35" s="29" customFormat="1" ht="33" customHeight="1">
      <c r="B90" s="50"/>
      <c r="C90" s="49"/>
      <c r="D90" s="39"/>
      <c r="E90" s="39"/>
      <c r="F90" s="49"/>
      <c r="G90" s="39"/>
      <c r="H90" s="39"/>
      <c r="I90" s="50"/>
      <c r="J90" s="28"/>
      <c r="K90" s="43"/>
      <c r="L90" s="47" t="s">
        <v>338</v>
      </c>
      <c r="M90" s="43"/>
      <c r="N90" s="44"/>
      <c r="O90" s="67"/>
      <c r="P90" s="70"/>
      <c r="Q90" s="71"/>
      <c r="R90" s="71"/>
      <c r="S90" s="72"/>
      <c r="T90" s="67"/>
      <c r="U90" s="42" t="s">
        <v>338</v>
      </c>
      <c r="V90" s="42" t="s">
        <v>338</v>
      </c>
      <c r="W90" s="42" t="s">
        <v>338</v>
      </c>
      <c r="X90" s="45" t="s">
        <v>338</v>
      </c>
    </row>
    <row r="91" spans="2:35" s="29" customFormat="1" ht="33" customHeight="1">
      <c r="B91" s="50"/>
      <c r="C91" s="49"/>
      <c r="D91" s="39"/>
      <c r="E91" s="39"/>
      <c r="F91" s="49"/>
      <c r="G91" s="39"/>
      <c r="H91" s="39"/>
      <c r="I91" s="50"/>
      <c r="J91" s="28"/>
      <c r="K91" s="43"/>
      <c r="L91" s="47" t="s">
        <v>338</v>
      </c>
      <c r="M91" s="43"/>
      <c r="N91" s="44"/>
      <c r="O91" s="67"/>
      <c r="P91" s="70"/>
      <c r="Q91" s="71"/>
      <c r="R91" s="71"/>
      <c r="S91" s="72"/>
      <c r="T91" s="67"/>
      <c r="U91" s="42" t="s">
        <v>338</v>
      </c>
      <c r="V91" s="42" t="s">
        <v>338</v>
      </c>
      <c r="W91" s="42" t="s">
        <v>338</v>
      </c>
      <c r="X91" s="45" t="s">
        <v>338</v>
      </c>
    </row>
    <row r="92" spans="2:35" s="29" customFormat="1" ht="33" customHeight="1">
      <c r="B92" s="50"/>
      <c r="C92" s="49"/>
      <c r="D92" s="39"/>
      <c r="E92" s="39"/>
      <c r="F92" s="49"/>
      <c r="G92" s="39"/>
      <c r="H92" s="39"/>
      <c r="I92" s="50"/>
      <c r="J92" s="28"/>
      <c r="K92" s="43"/>
      <c r="L92" s="47" t="s">
        <v>338</v>
      </c>
      <c r="M92" s="43"/>
      <c r="N92" s="44"/>
      <c r="O92" s="67"/>
      <c r="P92" s="70"/>
      <c r="Q92" s="71"/>
      <c r="R92" s="71"/>
      <c r="S92" s="72"/>
      <c r="T92" s="67"/>
      <c r="U92" s="42" t="s">
        <v>338</v>
      </c>
      <c r="V92" s="42" t="s">
        <v>338</v>
      </c>
      <c r="W92" s="42" t="s">
        <v>338</v>
      </c>
      <c r="X92" s="45" t="s">
        <v>338</v>
      </c>
    </row>
    <row r="93" spans="2:35" s="29" customFormat="1" ht="33" customHeight="1">
      <c r="B93" s="50"/>
      <c r="C93" s="49"/>
      <c r="D93" s="39"/>
      <c r="E93" s="39"/>
      <c r="F93" s="49"/>
      <c r="G93" s="39"/>
      <c r="H93" s="39"/>
      <c r="I93" s="50"/>
      <c r="J93" s="28"/>
      <c r="K93" s="43"/>
      <c r="L93" s="47" t="s">
        <v>338</v>
      </c>
      <c r="M93" s="43"/>
      <c r="N93" s="44"/>
      <c r="O93" s="67"/>
      <c r="P93" s="70"/>
      <c r="Q93" s="71"/>
      <c r="R93" s="71"/>
      <c r="S93" s="72"/>
      <c r="T93" s="67"/>
      <c r="U93" s="42" t="s">
        <v>338</v>
      </c>
      <c r="V93" s="42" t="s">
        <v>338</v>
      </c>
      <c r="W93" s="42" t="s">
        <v>338</v>
      </c>
      <c r="X93" s="45" t="s">
        <v>338</v>
      </c>
    </row>
    <row r="94" spans="2:35" s="29" customFormat="1" ht="33" customHeight="1">
      <c r="B94" s="50"/>
      <c r="C94" s="49"/>
      <c r="D94" s="39"/>
      <c r="E94" s="39"/>
      <c r="F94" s="49"/>
      <c r="G94" s="39"/>
      <c r="H94" s="39"/>
      <c r="I94" s="50"/>
      <c r="J94" s="28"/>
      <c r="K94" s="43"/>
      <c r="L94" s="47" t="s">
        <v>338</v>
      </c>
      <c r="M94" s="43"/>
      <c r="N94" s="44"/>
      <c r="O94" s="67"/>
      <c r="P94" s="70"/>
      <c r="Q94" s="71"/>
      <c r="R94" s="71"/>
      <c r="S94" s="72"/>
      <c r="T94" s="67"/>
      <c r="U94" s="42" t="s">
        <v>338</v>
      </c>
      <c r="V94" s="42" t="s">
        <v>338</v>
      </c>
      <c r="W94" s="42" t="s">
        <v>338</v>
      </c>
      <c r="X94" s="45" t="s">
        <v>338</v>
      </c>
    </row>
    <row r="95" spans="2:35" s="29" customFormat="1" ht="33" customHeight="1">
      <c r="B95" s="50"/>
      <c r="C95" s="49"/>
      <c r="D95" s="39"/>
      <c r="E95" s="39"/>
      <c r="F95" s="49"/>
      <c r="G95" s="39"/>
      <c r="H95" s="39"/>
      <c r="I95" s="50"/>
      <c r="J95" s="28"/>
      <c r="K95" s="43"/>
      <c r="L95" s="47" t="s">
        <v>338</v>
      </c>
      <c r="M95" s="43"/>
      <c r="N95" s="44"/>
      <c r="O95" s="67"/>
      <c r="P95" s="70"/>
      <c r="Q95" s="71"/>
      <c r="R95" s="71"/>
      <c r="S95" s="72"/>
      <c r="T95" s="67"/>
      <c r="U95" s="42" t="s">
        <v>338</v>
      </c>
      <c r="V95" s="42" t="s">
        <v>338</v>
      </c>
      <c r="W95" s="42" t="s">
        <v>338</v>
      </c>
      <c r="X95" s="45" t="s">
        <v>338</v>
      </c>
    </row>
    <row r="96" spans="2:35" s="29" customFormat="1" ht="33" customHeight="1">
      <c r="B96" s="50"/>
      <c r="C96" s="49"/>
      <c r="D96" s="39"/>
      <c r="E96" s="39"/>
      <c r="F96" s="49"/>
      <c r="G96" s="39"/>
      <c r="H96" s="39"/>
      <c r="I96" s="50"/>
      <c r="J96" s="28"/>
      <c r="K96" s="43"/>
      <c r="L96" s="47" t="s">
        <v>338</v>
      </c>
      <c r="M96" s="43"/>
      <c r="N96" s="44"/>
      <c r="O96" s="67"/>
      <c r="P96" s="70"/>
      <c r="Q96" s="71"/>
      <c r="R96" s="71"/>
      <c r="S96" s="72"/>
      <c r="T96" s="67"/>
      <c r="U96" s="42" t="s">
        <v>338</v>
      </c>
      <c r="V96" s="42" t="s">
        <v>338</v>
      </c>
      <c r="W96" s="42" t="s">
        <v>338</v>
      </c>
      <c r="X96" s="45" t="s">
        <v>338</v>
      </c>
    </row>
    <row r="97" spans="2:24" s="29" customFormat="1" ht="33" customHeight="1">
      <c r="B97" s="50"/>
      <c r="C97" s="49"/>
      <c r="D97" s="39"/>
      <c r="E97" s="39"/>
      <c r="F97" s="49"/>
      <c r="G97" s="39"/>
      <c r="H97" s="39"/>
      <c r="I97" s="50"/>
      <c r="J97" s="28"/>
      <c r="K97" s="43"/>
      <c r="L97" s="47" t="s">
        <v>338</v>
      </c>
      <c r="M97" s="43"/>
      <c r="N97" s="44"/>
      <c r="O97" s="67"/>
      <c r="P97" s="70"/>
      <c r="Q97" s="71"/>
      <c r="R97" s="71"/>
      <c r="S97" s="72"/>
      <c r="T97" s="67"/>
      <c r="U97" s="42" t="s">
        <v>338</v>
      </c>
      <c r="V97" s="42" t="s">
        <v>338</v>
      </c>
      <c r="W97" s="42" t="s">
        <v>338</v>
      </c>
      <c r="X97" s="45" t="s">
        <v>338</v>
      </c>
    </row>
    <row r="98" spans="2:24" s="29" customFormat="1" ht="33" customHeight="1">
      <c r="B98" s="50"/>
      <c r="C98" s="49"/>
      <c r="D98" s="39"/>
      <c r="E98" s="39"/>
      <c r="F98" s="49"/>
      <c r="G98" s="39"/>
      <c r="H98" s="39"/>
      <c r="I98" s="50"/>
      <c r="J98" s="28"/>
      <c r="K98" s="43"/>
      <c r="L98" s="47" t="s">
        <v>338</v>
      </c>
      <c r="M98" s="43"/>
      <c r="N98" s="44"/>
      <c r="O98" s="67"/>
      <c r="P98" s="70"/>
      <c r="Q98" s="71"/>
      <c r="R98" s="71"/>
      <c r="S98" s="72"/>
      <c r="T98" s="67"/>
      <c r="U98" s="42" t="s">
        <v>338</v>
      </c>
      <c r="V98" s="42" t="s">
        <v>338</v>
      </c>
      <c r="W98" s="42" t="s">
        <v>338</v>
      </c>
      <c r="X98" s="45" t="s">
        <v>338</v>
      </c>
    </row>
    <row r="99" spans="2:24" s="29" customFormat="1" ht="33" customHeight="1">
      <c r="B99" s="50"/>
      <c r="C99" s="49"/>
      <c r="D99" s="39"/>
      <c r="E99" s="39"/>
      <c r="F99" s="49"/>
      <c r="G99" s="39"/>
      <c r="H99" s="39"/>
      <c r="I99" s="50"/>
      <c r="J99" s="28"/>
      <c r="K99" s="43"/>
      <c r="L99" s="47" t="s">
        <v>338</v>
      </c>
      <c r="M99" s="43"/>
      <c r="N99" s="44"/>
      <c r="O99" s="67"/>
      <c r="P99" s="70"/>
      <c r="Q99" s="71"/>
      <c r="R99" s="71"/>
      <c r="S99" s="72"/>
      <c r="T99" s="67"/>
      <c r="U99" s="42" t="s">
        <v>338</v>
      </c>
      <c r="V99" s="42" t="s">
        <v>338</v>
      </c>
      <c r="W99" s="42" t="s">
        <v>338</v>
      </c>
      <c r="X99" s="45" t="s">
        <v>338</v>
      </c>
    </row>
    <row r="100" spans="2:24" s="29" customFormat="1" ht="33" customHeight="1">
      <c r="B100" s="50"/>
      <c r="C100" s="49"/>
      <c r="D100" s="39"/>
      <c r="E100" s="39"/>
      <c r="F100" s="49"/>
      <c r="G100" s="39"/>
      <c r="H100" s="39"/>
      <c r="I100" s="50"/>
      <c r="J100" s="28"/>
      <c r="K100" s="43"/>
      <c r="L100" s="47" t="s">
        <v>338</v>
      </c>
      <c r="M100" s="43"/>
      <c r="N100" s="44"/>
      <c r="O100" s="67"/>
      <c r="P100" s="70"/>
      <c r="Q100" s="71"/>
      <c r="R100" s="71"/>
      <c r="S100" s="72"/>
      <c r="T100" s="67"/>
      <c r="U100" s="42" t="s">
        <v>338</v>
      </c>
      <c r="V100" s="42" t="s">
        <v>338</v>
      </c>
      <c r="W100" s="42" t="s">
        <v>338</v>
      </c>
      <c r="X100" s="45" t="s">
        <v>338</v>
      </c>
    </row>
    <row r="101" spans="2:24" s="29" customFormat="1" ht="33" customHeight="1">
      <c r="B101" s="50"/>
      <c r="C101" s="49"/>
      <c r="D101" s="39"/>
      <c r="E101" s="39"/>
      <c r="F101" s="49"/>
      <c r="G101" s="39"/>
      <c r="H101" s="39"/>
      <c r="I101" s="50"/>
      <c r="J101" s="28"/>
      <c r="K101" s="43"/>
      <c r="L101" s="47" t="s">
        <v>338</v>
      </c>
      <c r="M101" s="43"/>
      <c r="N101" s="44"/>
      <c r="O101" s="67"/>
      <c r="P101" s="70"/>
      <c r="Q101" s="71"/>
      <c r="R101" s="71"/>
      <c r="S101" s="72"/>
      <c r="T101" s="67"/>
      <c r="U101" s="42" t="s">
        <v>338</v>
      </c>
      <c r="V101" s="42" t="s">
        <v>338</v>
      </c>
      <c r="W101" s="42" t="s">
        <v>338</v>
      </c>
      <c r="X101" s="45" t="s">
        <v>338</v>
      </c>
    </row>
    <row r="102" spans="2:24" s="29" customFormat="1" ht="33" customHeight="1">
      <c r="B102" s="50"/>
      <c r="C102" s="49"/>
      <c r="D102" s="39"/>
      <c r="E102" s="39"/>
      <c r="F102" s="49"/>
      <c r="G102" s="39"/>
      <c r="H102" s="39"/>
      <c r="I102" s="50"/>
      <c r="J102" s="28"/>
      <c r="K102" s="43"/>
      <c r="L102" s="47" t="s">
        <v>338</v>
      </c>
      <c r="M102" s="43"/>
      <c r="N102" s="44"/>
      <c r="O102" s="67"/>
      <c r="P102" s="70"/>
      <c r="Q102" s="71"/>
      <c r="R102" s="71"/>
      <c r="S102" s="72"/>
      <c r="T102" s="67"/>
      <c r="U102" s="42" t="s">
        <v>338</v>
      </c>
      <c r="V102" s="42" t="s">
        <v>338</v>
      </c>
      <c r="W102" s="42" t="s">
        <v>338</v>
      </c>
      <c r="X102" s="45" t="s">
        <v>338</v>
      </c>
    </row>
    <row r="103" spans="2:24" s="29" customFormat="1" ht="33" customHeight="1">
      <c r="B103" s="50"/>
      <c r="C103" s="49"/>
      <c r="D103" s="39"/>
      <c r="E103" s="39"/>
      <c r="F103" s="49"/>
      <c r="G103" s="39"/>
      <c r="H103" s="39"/>
      <c r="I103" s="50"/>
      <c r="J103" s="28"/>
      <c r="K103" s="43"/>
      <c r="L103" s="47" t="s">
        <v>338</v>
      </c>
      <c r="M103" s="43"/>
      <c r="N103" s="44"/>
      <c r="O103" s="67"/>
      <c r="P103" s="70"/>
      <c r="Q103" s="71"/>
      <c r="R103" s="71"/>
      <c r="S103" s="72"/>
      <c r="T103" s="67"/>
      <c r="U103" s="42" t="s">
        <v>338</v>
      </c>
      <c r="V103" s="42" t="s">
        <v>338</v>
      </c>
      <c r="W103" s="42" t="s">
        <v>338</v>
      </c>
      <c r="X103" s="45" t="s">
        <v>338</v>
      </c>
    </row>
    <row r="104" spans="2:24" s="29" customFormat="1" ht="33" customHeight="1">
      <c r="B104" s="50"/>
      <c r="C104" s="49"/>
      <c r="D104" s="39"/>
      <c r="E104" s="39"/>
      <c r="F104" s="49"/>
      <c r="G104" s="39"/>
      <c r="H104" s="39"/>
      <c r="I104" s="50"/>
      <c r="J104" s="28"/>
      <c r="K104" s="43"/>
      <c r="L104" s="47" t="s">
        <v>338</v>
      </c>
      <c r="M104" s="43"/>
      <c r="N104" s="44"/>
      <c r="O104" s="67"/>
      <c r="P104" s="70"/>
      <c r="Q104" s="71"/>
      <c r="R104" s="71"/>
      <c r="S104" s="72"/>
      <c r="T104" s="67"/>
      <c r="U104" s="42" t="s">
        <v>338</v>
      </c>
      <c r="V104" s="42" t="s">
        <v>338</v>
      </c>
      <c r="W104" s="42" t="s">
        <v>338</v>
      </c>
      <c r="X104" s="45" t="s">
        <v>338</v>
      </c>
    </row>
    <row r="105" spans="2:24" s="29" customFormat="1" ht="33" customHeight="1">
      <c r="B105" s="50"/>
      <c r="C105" s="49"/>
      <c r="D105" s="39"/>
      <c r="E105" s="39"/>
      <c r="F105" s="49"/>
      <c r="G105" s="39"/>
      <c r="H105" s="39"/>
      <c r="I105" s="50"/>
      <c r="J105" s="28"/>
      <c r="K105" s="43"/>
      <c r="L105" s="47" t="s">
        <v>338</v>
      </c>
      <c r="M105" s="43"/>
      <c r="N105" s="44"/>
      <c r="O105" s="67"/>
      <c r="P105" s="70"/>
      <c r="Q105" s="71"/>
      <c r="R105" s="71"/>
      <c r="S105" s="72"/>
      <c r="T105" s="67"/>
      <c r="U105" s="42" t="s">
        <v>338</v>
      </c>
      <c r="V105" s="42" t="s">
        <v>338</v>
      </c>
      <c r="W105" s="42" t="s">
        <v>338</v>
      </c>
      <c r="X105" s="45" t="s">
        <v>338</v>
      </c>
    </row>
    <row r="106" spans="2:24" s="29" customFormat="1" ht="33" customHeight="1">
      <c r="B106" s="50"/>
      <c r="C106" s="49"/>
      <c r="D106" s="39"/>
      <c r="E106" s="39"/>
      <c r="F106" s="49"/>
      <c r="G106" s="39"/>
      <c r="H106" s="39"/>
      <c r="I106" s="50"/>
      <c r="J106" s="28"/>
      <c r="K106" s="43"/>
      <c r="L106" s="47" t="s">
        <v>338</v>
      </c>
      <c r="M106" s="43"/>
      <c r="N106" s="44"/>
      <c r="O106" s="67"/>
      <c r="P106" s="70"/>
      <c r="Q106" s="71"/>
      <c r="R106" s="71"/>
      <c r="S106" s="72"/>
      <c r="T106" s="67"/>
      <c r="U106" s="42" t="s">
        <v>338</v>
      </c>
      <c r="V106" s="42" t="s">
        <v>338</v>
      </c>
      <c r="W106" s="42" t="s">
        <v>338</v>
      </c>
      <c r="X106" s="45" t="s">
        <v>338</v>
      </c>
    </row>
    <row r="107" spans="2:24" s="29" customFormat="1" ht="33" customHeight="1">
      <c r="B107" s="50"/>
      <c r="C107" s="49"/>
      <c r="D107" s="39"/>
      <c r="E107" s="39"/>
      <c r="F107" s="49"/>
      <c r="G107" s="39"/>
      <c r="H107" s="39"/>
      <c r="I107" s="50"/>
      <c r="J107" s="28"/>
      <c r="K107" s="43"/>
      <c r="L107" s="47" t="s">
        <v>338</v>
      </c>
      <c r="M107" s="43"/>
      <c r="N107" s="44"/>
      <c r="O107" s="67"/>
      <c r="P107" s="70"/>
      <c r="Q107" s="71"/>
      <c r="R107" s="71"/>
      <c r="S107" s="72"/>
      <c r="T107" s="67"/>
      <c r="U107" s="42" t="s">
        <v>338</v>
      </c>
      <c r="V107" s="42" t="s">
        <v>338</v>
      </c>
      <c r="W107" s="42" t="s">
        <v>338</v>
      </c>
      <c r="X107" s="45" t="s">
        <v>338</v>
      </c>
    </row>
    <row r="108" spans="2:24" s="29" customFormat="1" ht="33" customHeight="1">
      <c r="B108" s="50"/>
      <c r="C108" s="49"/>
      <c r="D108" s="39"/>
      <c r="E108" s="39"/>
      <c r="F108" s="49"/>
      <c r="G108" s="39"/>
      <c r="H108" s="39"/>
      <c r="I108" s="50"/>
      <c r="J108" s="28"/>
      <c r="K108" s="43"/>
      <c r="L108" s="47" t="s">
        <v>338</v>
      </c>
      <c r="M108" s="43"/>
      <c r="N108" s="44"/>
      <c r="O108" s="67"/>
      <c r="P108" s="70"/>
      <c r="Q108" s="71"/>
      <c r="R108" s="71"/>
      <c r="S108" s="72"/>
      <c r="T108" s="67"/>
      <c r="U108" s="42" t="s">
        <v>338</v>
      </c>
      <c r="V108" s="42" t="s">
        <v>338</v>
      </c>
      <c r="W108" s="42" t="s">
        <v>338</v>
      </c>
      <c r="X108" s="45" t="s">
        <v>338</v>
      </c>
    </row>
    <row r="109" spans="2:24" s="29" customFormat="1" ht="33" customHeight="1">
      <c r="B109" s="50"/>
      <c r="C109" s="49"/>
      <c r="D109" s="39"/>
      <c r="E109" s="39"/>
      <c r="F109" s="49"/>
      <c r="G109" s="39"/>
      <c r="H109" s="39"/>
      <c r="I109" s="50"/>
      <c r="J109" s="28"/>
      <c r="K109" s="43"/>
      <c r="L109" s="47" t="s">
        <v>338</v>
      </c>
      <c r="M109" s="43"/>
      <c r="N109" s="44"/>
      <c r="O109" s="67"/>
      <c r="P109" s="70"/>
      <c r="Q109" s="71"/>
      <c r="R109" s="71"/>
      <c r="S109" s="72"/>
      <c r="T109" s="67"/>
      <c r="U109" s="42" t="s">
        <v>338</v>
      </c>
      <c r="V109" s="42" t="s">
        <v>338</v>
      </c>
      <c r="W109" s="42" t="s">
        <v>338</v>
      </c>
      <c r="X109" s="45" t="s">
        <v>338</v>
      </c>
    </row>
    <row r="110" spans="2:24" s="29" customFormat="1" ht="33" customHeight="1">
      <c r="B110" s="50"/>
      <c r="C110" s="49"/>
      <c r="D110" s="39"/>
      <c r="E110" s="39"/>
      <c r="F110" s="49"/>
      <c r="G110" s="39"/>
      <c r="H110" s="39"/>
      <c r="I110" s="50"/>
      <c r="J110" s="28"/>
      <c r="K110" s="43"/>
      <c r="L110" s="47" t="s">
        <v>338</v>
      </c>
      <c r="M110" s="43"/>
      <c r="N110" s="44"/>
      <c r="O110" s="67"/>
      <c r="P110" s="70"/>
      <c r="Q110" s="71"/>
      <c r="R110" s="71"/>
      <c r="S110" s="72"/>
      <c r="T110" s="67"/>
      <c r="U110" s="42" t="s">
        <v>338</v>
      </c>
      <c r="V110" s="42" t="s">
        <v>338</v>
      </c>
      <c r="W110" s="42" t="s">
        <v>338</v>
      </c>
      <c r="X110" s="45" t="s">
        <v>338</v>
      </c>
    </row>
    <row r="111" spans="2:24" s="29" customFormat="1" ht="33" customHeight="1">
      <c r="B111" s="50"/>
      <c r="C111" s="49"/>
      <c r="D111" s="39"/>
      <c r="E111" s="39"/>
      <c r="F111" s="49"/>
      <c r="G111" s="39"/>
      <c r="H111" s="39"/>
      <c r="I111" s="50"/>
      <c r="J111" s="28"/>
      <c r="K111" s="43"/>
      <c r="L111" s="47" t="s">
        <v>338</v>
      </c>
      <c r="M111" s="43"/>
      <c r="N111" s="44"/>
      <c r="O111" s="67"/>
      <c r="P111" s="70"/>
      <c r="Q111" s="71"/>
      <c r="R111" s="71"/>
      <c r="S111" s="72"/>
      <c r="T111" s="67"/>
      <c r="U111" s="42" t="s">
        <v>338</v>
      </c>
      <c r="V111" s="42" t="s">
        <v>338</v>
      </c>
      <c r="W111" s="42" t="s">
        <v>338</v>
      </c>
      <c r="X111" s="45" t="s">
        <v>338</v>
      </c>
    </row>
    <row r="112" spans="2:24" s="29" customFormat="1" ht="33" customHeight="1">
      <c r="B112" s="50"/>
      <c r="C112" s="49"/>
      <c r="D112" s="39"/>
      <c r="E112" s="39"/>
      <c r="F112" s="49"/>
      <c r="G112" s="39"/>
      <c r="H112" s="39"/>
      <c r="I112" s="50"/>
      <c r="J112" s="28"/>
      <c r="K112" s="43"/>
      <c r="L112" s="47" t="s">
        <v>338</v>
      </c>
      <c r="M112" s="43"/>
      <c r="N112" s="44"/>
      <c r="O112" s="67"/>
      <c r="P112" s="70"/>
      <c r="Q112" s="71"/>
      <c r="R112" s="71"/>
      <c r="S112" s="72"/>
      <c r="T112" s="67"/>
      <c r="U112" s="42" t="s">
        <v>338</v>
      </c>
      <c r="V112" s="42" t="s">
        <v>338</v>
      </c>
      <c r="W112" s="42" t="s">
        <v>338</v>
      </c>
      <c r="X112" s="45" t="s">
        <v>338</v>
      </c>
    </row>
    <row r="113" spans="2:24" s="29" customFormat="1" ht="33" customHeight="1">
      <c r="B113" s="50"/>
      <c r="C113" s="49"/>
      <c r="D113" s="39"/>
      <c r="E113" s="39"/>
      <c r="F113" s="49"/>
      <c r="G113" s="39"/>
      <c r="H113" s="39"/>
      <c r="I113" s="50"/>
      <c r="J113" s="28"/>
      <c r="K113" s="43"/>
      <c r="L113" s="47" t="s">
        <v>338</v>
      </c>
      <c r="M113" s="43"/>
      <c r="N113" s="44"/>
      <c r="O113" s="67"/>
      <c r="P113" s="70"/>
      <c r="Q113" s="71"/>
      <c r="R113" s="71"/>
      <c r="S113" s="72"/>
      <c r="T113" s="67"/>
      <c r="U113" s="42" t="s">
        <v>338</v>
      </c>
      <c r="V113" s="42" t="s">
        <v>338</v>
      </c>
      <c r="W113" s="42" t="s">
        <v>338</v>
      </c>
      <c r="X113" s="45" t="s">
        <v>338</v>
      </c>
    </row>
    <row r="114" spans="2:24" s="29" customFormat="1" ht="33" customHeight="1">
      <c r="B114" s="50"/>
      <c r="C114" s="49"/>
      <c r="D114" s="39"/>
      <c r="E114" s="39"/>
      <c r="F114" s="49"/>
      <c r="G114" s="39"/>
      <c r="H114" s="39"/>
      <c r="I114" s="50"/>
      <c r="J114" s="28"/>
      <c r="K114" s="43"/>
      <c r="L114" s="47" t="s">
        <v>338</v>
      </c>
      <c r="M114" s="43"/>
      <c r="N114" s="44"/>
      <c r="O114" s="67"/>
      <c r="P114" s="70"/>
      <c r="Q114" s="71"/>
      <c r="R114" s="71"/>
      <c r="S114" s="72"/>
      <c r="T114" s="67"/>
      <c r="U114" s="42" t="s">
        <v>338</v>
      </c>
      <c r="V114" s="42" t="s">
        <v>338</v>
      </c>
      <c r="W114" s="42" t="s">
        <v>338</v>
      </c>
      <c r="X114" s="45" t="s">
        <v>338</v>
      </c>
    </row>
    <row r="115" spans="2:24" s="29" customFormat="1" ht="33" customHeight="1">
      <c r="B115" s="50"/>
      <c r="C115" s="49"/>
      <c r="D115" s="39"/>
      <c r="E115" s="39"/>
      <c r="F115" s="49"/>
      <c r="G115" s="39"/>
      <c r="H115" s="39"/>
      <c r="I115" s="50"/>
      <c r="J115" s="28"/>
      <c r="K115" s="43"/>
      <c r="L115" s="47" t="s">
        <v>338</v>
      </c>
      <c r="M115" s="43"/>
      <c r="N115" s="44"/>
      <c r="O115" s="67"/>
      <c r="P115" s="70"/>
      <c r="Q115" s="71"/>
      <c r="R115" s="71"/>
      <c r="S115" s="72"/>
      <c r="T115" s="67"/>
      <c r="U115" s="42" t="s">
        <v>338</v>
      </c>
      <c r="V115" s="42" t="s">
        <v>338</v>
      </c>
      <c r="W115" s="42" t="s">
        <v>338</v>
      </c>
      <c r="X115" s="45" t="s">
        <v>338</v>
      </c>
    </row>
    <row r="116" spans="2:24" s="29" customFormat="1" ht="33" customHeight="1">
      <c r="B116" s="50"/>
      <c r="C116" s="49"/>
      <c r="D116" s="39"/>
      <c r="E116" s="39"/>
      <c r="F116" s="49"/>
      <c r="G116" s="39"/>
      <c r="H116" s="39"/>
      <c r="I116" s="50"/>
      <c r="J116" s="28"/>
      <c r="K116" s="43"/>
      <c r="L116" s="47" t="s">
        <v>338</v>
      </c>
      <c r="M116" s="43"/>
      <c r="N116" s="44"/>
      <c r="O116" s="67"/>
      <c r="P116" s="70"/>
      <c r="Q116" s="71"/>
      <c r="R116" s="71"/>
      <c r="S116" s="72"/>
      <c r="T116" s="67"/>
      <c r="U116" s="42" t="s">
        <v>338</v>
      </c>
      <c r="V116" s="42" t="s">
        <v>338</v>
      </c>
      <c r="W116" s="42" t="s">
        <v>338</v>
      </c>
      <c r="X116" s="45" t="s">
        <v>338</v>
      </c>
    </row>
    <row r="117" spans="2:24" s="29" customFormat="1" ht="33" customHeight="1">
      <c r="B117" s="50"/>
      <c r="C117" s="49"/>
      <c r="D117" s="39"/>
      <c r="E117" s="39"/>
      <c r="F117" s="49"/>
      <c r="G117" s="39"/>
      <c r="H117" s="39"/>
      <c r="I117" s="50"/>
      <c r="J117" s="28"/>
      <c r="K117" s="43"/>
      <c r="L117" s="47" t="s">
        <v>338</v>
      </c>
      <c r="M117" s="43"/>
      <c r="N117" s="44"/>
      <c r="O117" s="67"/>
      <c r="P117" s="70"/>
      <c r="Q117" s="71"/>
      <c r="R117" s="71"/>
      <c r="S117" s="72"/>
      <c r="T117" s="67"/>
      <c r="U117" s="42" t="s">
        <v>338</v>
      </c>
      <c r="V117" s="42" t="s">
        <v>338</v>
      </c>
      <c r="W117" s="42" t="s">
        <v>338</v>
      </c>
      <c r="X117" s="45" t="s">
        <v>338</v>
      </c>
    </row>
    <row r="118" spans="2:24" s="29" customFormat="1" ht="33" customHeight="1">
      <c r="B118" s="50"/>
      <c r="C118" s="49"/>
      <c r="D118" s="39"/>
      <c r="E118" s="39"/>
      <c r="F118" s="49"/>
      <c r="G118" s="39"/>
      <c r="H118" s="39"/>
      <c r="I118" s="50"/>
      <c r="J118" s="28"/>
      <c r="K118" s="43"/>
      <c r="L118" s="47" t="s">
        <v>338</v>
      </c>
      <c r="M118" s="43"/>
      <c r="N118" s="44"/>
      <c r="O118" s="67"/>
      <c r="P118" s="70"/>
      <c r="Q118" s="71"/>
      <c r="R118" s="71"/>
      <c r="S118" s="72"/>
      <c r="T118" s="67"/>
      <c r="U118" s="42" t="s">
        <v>338</v>
      </c>
      <c r="V118" s="42" t="s">
        <v>338</v>
      </c>
      <c r="W118" s="42" t="s">
        <v>338</v>
      </c>
      <c r="X118" s="45" t="s">
        <v>338</v>
      </c>
    </row>
    <row r="119" spans="2:24" s="29" customFormat="1" ht="33" customHeight="1">
      <c r="B119" s="50"/>
      <c r="C119" s="49"/>
      <c r="D119" s="39"/>
      <c r="E119" s="39"/>
      <c r="F119" s="49"/>
      <c r="G119" s="39"/>
      <c r="H119" s="39"/>
      <c r="I119" s="50"/>
      <c r="J119" s="28"/>
      <c r="K119" s="43"/>
      <c r="L119" s="47" t="s">
        <v>338</v>
      </c>
      <c r="M119" s="43"/>
      <c r="N119" s="44"/>
      <c r="O119" s="67"/>
      <c r="P119" s="70"/>
      <c r="Q119" s="71"/>
      <c r="R119" s="71"/>
      <c r="S119" s="72"/>
      <c r="T119" s="67"/>
      <c r="U119" s="42" t="s">
        <v>338</v>
      </c>
      <c r="V119" s="42" t="s">
        <v>338</v>
      </c>
      <c r="W119" s="42" t="s">
        <v>338</v>
      </c>
      <c r="X119" s="45" t="s">
        <v>338</v>
      </c>
    </row>
    <row r="120" spans="2:24" s="29" customFormat="1" ht="33" customHeight="1">
      <c r="B120" s="50"/>
      <c r="C120" s="49"/>
      <c r="D120" s="39"/>
      <c r="E120" s="39"/>
      <c r="F120" s="49"/>
      <c r="G120" s="39"/>
      <c r="H120" s="39"/>
      <c r="I120" s="50"/>
      <c r="J120" s="28"/>
      <c r="K120" s="43"/>
      <c r="L120" s="47" t="s">
        <v>338</v>
      </c>
      <c r="M120" s="43"/>
      <c r="N120" s="44"/>
      <c r="O120" s="67"/>
      <c r="P120" s="70"/>
      <c r="Q120" s="71"/>
      <c r="R120" s="71"/>
      <c r="S120" s="72"/>
      <c r="T120" s="67"/>
      <c r="U120" s="42" t="s">
        <v>338</v>
      </c>
      <c r="V120" s="42" t="s">
        <v>338</v>
      </c>
      <c r="W120" s="42" t="s">
        <v>338</v>
      </c>
      <c r="X120" s="45" t="s">
        <v>338</v>
      </c>
    </row>
    <row r="121" spans="2:24" s="29" customFormat="1" ht="33" customHeight="1">
      <c r="B121" s="50"/>
      <c r="C121" s="49"/>
      <c r="D121" s="39"/>
      <c r="E121" s="39"/>
      <c r="F121" s="49"/>
      <c r="G121" s="39"/>
      <c r="H121" s="39"/>
      <c r="I121" s="50"/>
      <c r="J121" s="28"/>
      <c r="K121" s="43"/>
      <c r="L121" s="47" t="s">
        <v>338</v>
      </c>
      <c r="M121" s="43"/>
      <c r="N121" s="44"/>
      <c r="O121" s="67"/>
      <c r="P121" s="70"/>
      <c r="Q121" s="71"/>
      <c r="R121" s="71"/>
      <c r="S121" s="72"/>
      <c r="T121" s="67"/>
      <c r="U121" s="42" t="s">
        <v>338</v>
      </c>
      <c r="V121" s="42" t="s">
        <v>338</v>
      </c>
      <c r="W121" s="42" t="s">
        <v>338</v>
      </c>
      <c r="X121" s="45" t="s">
        <v>338</v>
      </c>
    </row>
    <row r="122" spans="2:24" s="29" customFormat="1" ht="33" customHeight="1">
      <c r="B122" s="50"/>
      <c r="C122" s="49"/>
      <c r="D122" s="39"/>
      <c r="E122" s="39"/>
      <c r="F122" s="49"/>
      <c r="G122" s="39"/>
      <c r="H122" s="39"/>
      <c r="I122" s="50"/>
      <c r="J122" s="28"/>
      <c r="K122" s="43"/>
      <c r="L122" s="47" t="s">
        <v>338</v>
      </c>
      <c r="M122" s="43"/>
      <c r="N122" s="44"/>
      <c r="O122" s="67"/>
      <c r="P122" s="70"/>
      <c r="Q122" s="71"/>
      <c r="R122" s="71"/>
      <c r="S122" s="72"/>
      <c r="T122" s="67"/>
      <c r="U122" s="42" t="s">
        <v>338</v>
      </c>
      <c r="V122" s="42" t="s">
        <v>338</v>
      </c>
      <c r="W122" s="42" t="s">
        <v>338</v>
      </c>
      <c r="X122" s="45" t="s">
        <v>338</v>
      </c>
    </row>
    <row r="123" spans="2:24" s="29" customFormat="1" ht="33" customHeight="1">
      <c r="B123" s="50"/>
      <c r="C123" s="49"/>
      <c r="D123" s="39"/>
      <c r="E123" s="39"/>
      <c r="F123" s="49"/>
      <c r="G123" s="39"/>
      <c r="H123" s="39"/>
      <c r="I123" s="50"/>
      <c r="J123" s="28"/>
      <c r="K123" s="43"/>
      <c r="L123" s="47" t="s">
        <v>338</v>
      </c>
      <c r="M123" s="43"/>
      <c r="N123" s="44"/>
      <c r="O123" s="67"/>
      <c r="P123" s="70"/>
      <c r="Q123" s="71"/>
      <c r="R123" s="71"/>
      <c r="S123" s="72"/>
      <c r="T123" s="67"/>
      <c r="U123" s="42" t="s">
        <v>338</v>
      </c>
      <c r="V123" s="42" t="s">
        <v>338</v>
      </c>
      <c r="W123" s="42" t="s">
        <v>338</v>
      </c>
      <c r="X123" s="45" t="s">
        <v>338</v>
      </c>
    </row>
    <row r="124" spans="2:24" s="29" customFormat="1" ht="33" customHeight="1">
      <c r="B124" s="50"/>
      <c r="C124" s="49"/>
      <c r="D124" s="39"/>
      <c r="E124" s="39"/>
      <c r="F124" s="49"/>
      <c r="G124" s="39"/>
      <c r="H124" s="39"/>
      <c r="I124" s="50"/>
      <c r="J124" s="28"/>
      <c r="K124" s="43"/>
      <c r="L124" s="47" t="s">
        <v>338</v>
      </c>
      <c r="M124" s="43"/>
      <c r="N124" s="44"/>
      <c r="O124" s="67"/>
      <c r="P124" s="70"/>
      <c r="Q124" s="71"/>
      <c r="R124" s="71"/>
      <c r="S124" s="72"/>
      <c r="T124" s="67"/>
      <c r="U124" s="42" t="s">
        <v>338</v>
      </c>
      <c r="V124" s="42" t="s">
        <v>338</v>
      </c>
      <c r="W124" s="42" t="s">
        <v>338</v>
      </c>
      <c r="X124" s="45" t="s">
        <v>338</v>
      </c>
    </row>
    <row r="125" spans="2:24" s="29" customFormat="1" ht="33" customHeight="1">
      <c r="B125" s="50"/>
      <c r="C125" s="49"/>
      <c r="D125" s="39"/>
      <c r="E125" s="39"/>
      <c r="F125" s="49"/>
      <c r="G125" s="39"/>
      <c r="H125" s="39"/>
      <c r="I125" s="50"/>
      <c r="J125" s="28"/>
      <c r="K125" s="43"/>
      <c r="L125" s="47" t="s">
        <v>338</v>
      </c>
      <c r="M125" s="43"/>
      <c r="N125" s="44"/>
      <c r="O125" s="67"/>
      <c r="P125" s="70"/>
      <c r="Q125" s="71"/>
      <c r="R125" s="71"/>
      <c r="S125" s="72"/>
      <c r="T125" s="67"/>
      <c r="U125" s="42" t="s">
        <v>338</v>
      </c>
      <c r="V125" s="42" t="s">
        <v>338</v>
      </c>
      <c r="W125" s="42" t="s">
        <v>338</v>
      </c>
      <c r="X125" s="45" t="s">
        <v>338</v>
      </c>
    </row>
    <row r="126" spans="2:24" s="29" customFormat="1" ht="33" customHeight="1">
      <c r="B126" s="50"/>
      <c r="C126" s="49"/>
      <c r="D126" s="39"/>
      <c r="E126" s="39"/>
      <c r="F126" s="49"/>
      <c r="G126" s="39"/>
      <c r="H126" s="39"/>
      <c r="I126" s="50"/>
      <c r="J126" s="28"/>
      <c r="K126" s="43"/>
      <c r="L126" s="47" t="s">
        <v>338</v>
      </c>
      <c r="M126" s="43"/>
      <c r="N126" s="44"/>
      <c r="O126" s="67"/>
      <c r="P126" s="70"/>
      <c r="Q126" s="71"/>
      <c r="R126" s="71"/>
      <c r="S126" s="72"/>
      <c r="T126" s="67"/>
      <c r="U126" s="42" t="s">
        <v>338</v>
      </c>
      <c r="V126" s="42" t="s">
        <v>338</v>
      </c>
      <c r="W126" s="42" t="s">
        <v>338</v>
      </c>
      <c r="X126" s="45" t="s">
        <v>338</v>
      </c>
    </row>
    <row r="127" spans="2:24" s="29" customFormat="1" ht="33" customHeight="1">
      <c r="B127" s="50"/>
      <c r="C127" s="49"/>
      <c r="D127" s="39"/>
      <c r="E127" s="39"/>
      <c r="F127" s="49"/>
      <c r="G127" s="39"/>
      <c r="H127" s="39"/>
      <c r="I127" s="50"/>
      <c r="J127" s="28"/>
      <c r="K127" s="43"/>
      <c r="L127" s="47" t="s">
        <v>338</v>
      </c>
      <c r="M127" s="43"/>
      <c r="N127" s="44"/>
      <c r="O127" s="67"/>
      <c r="P127" s="70"/>
      <c r="Q127" s="71"/>
      <c r="R127" s="71"/>
      <c r="S127" s="72"/>
      <c r="T127" s="67"/>
      <c r="U127" s="42" t="s">
        <v>338</v>
      </c>
      <c r="V127" s="42" t="s">
        <v>338</v>
      </c>
      <c r="W127" s="42" t="s">
        <v>338</v>
      </c>
      <c r="X127" s="45" t="s">
        <v>338</v>
      </c>
    </row>
    <row r="128" spans="2:24" s="29" customFormat="1" ht="33" customHeight="1">
      <c r="B128" s="50"/>
      <c r="C128" s="49"/>
      <c r="D128" s="39"/>
      <c r="E128" s="39"/>
      <c r="F128" s="49"/>
      <c r="G128" s="39"/>
      <c r="H128" s="39"/>
      <c r="I128" s="50"/>
      <c r="J128" s="28"/>
      <c r="K128" s="43"/>
      <c r="L128" s="47" t="s">
        <v>338</v>
      </c>
      <c r="M128" s="43"/>
      <c r="N128" s="44"/>
      <c r="O128" s="67"/>
      <c r="P128" s="70"/>
      <c r="Q128" s="71"/>
      <c r="R128" s="71"/>
      <c r="S128" s="72"/>
      <c r="T128" s="67"/>
      <c r="U128" s="42" t="s">
        <v>338</v>
      </c>
      <c r="V128" s="42" t="s">
        <v>338</v>
      </c>
      <c r="W128" s="42" t="s">
        <v>338</v>
      </c>
      <c r="X128" s="45" t="s">
        <v>338</v>
      </c>
    </row>
    <row r="129" spans="2:24" s="29" customFormat="1" ht="33" customHeight="1">
      <c r="B129" s="50"/>
      <c r="C129" s="49"/>
      <c r="D129" s="39"/>
      <c r="E129" s="39"/>
      <c r="F129" s="49"/>
      <c r="G129" s="39"/>
      <c r="H129" s="39"/>
      <c r="I129" s="50"/>
      <c r="J129" s="28"/>
      <c r="K129" s="43"/>
      <c r="L129" s="47" t="s">
        <v>338</v>
      </c>
      <c r="M129" s="43"/>
      <c r="N129" s="44"/>
      <c r="O129" s="67"/>
      <c r="P129" s="70"/>
      <c r="Q129" s="71"/>
      <c r="R129" s="71"/>
      <c r="S129" s="72"/>
      <c r="T129" s="67"/>
      <c r="U129" s="42" t="s">
        <v>338</v>
      </c>
      <c r="V129" s="42" t="s">
        <v>338</v>
      </c>
      <c r="W129" s="42" t="s">
        <v>338</v>
      </c>
      <c r="X129" s="45" t="s">
        <v>338</v>
      </c>
    </row>
    <row r="130" spans="2:24" s="29" customFormat="1" ht="33" customHeight="1">
      <c r="B130" s="50"/>
      <c r="C130" s="49"/>
      <c r="D130" s="39"/>
      <c r="E130" s="39"/>
      <c r="F130" s="49"/>
      <c r="G130" s="39"/>
      <c r="H130" s="39"/>
      <c r="I130" s="50"/>
      <c r="J130" s="28"/>
      <c r="K130" s="43"/>
      <c r="L130" s="47" t="s">
        <v>338</v>
      </c>
      <c r="M130" s="43"/>
      <c r="N130" s="44"/>
      <c r="O130" s="67"/>
      <c r="P130" s="70"/>
      <c r="Q130" s="71"/>
      <c r="R130" s="71"/>
      <c r="S130" s="72"/>
      <c r="T130" s="67"/>
      <c r="U130" s="42" t="s">
        <v>338</v>
      </c>
      <c r="V130" s="42" t="s">
        <v>338</v>
      </c>
      <c r="W130" s="42" t="s">
        <v>338</v>
      </c>
      <c r="X130" s="45" t="s">
        <v>338</v>
      </c>
    </row>
    <row r="131" spans="2:24" s="29" customFormat="1" ht="33" customHeight="1">
      <c r="B131" s="50"/>
      <c r="C131" s="49"/>
      <c r="D131" s="39"/>
      <c r="E131" s="39"/>
      <c r="F131" s="49"/>
      <c r="G131" s="39"/>
      <c r="H131" s="39"/>
      <c r="I131" s="50"/>
      <c r="J131" s="28"/>
      <c r="K131" s="43"/>
      <c r="L131" s="47" t="s">
        <v>338</v>
      </c>
      <c r="M131" s="43"/>
      <c r="N131" s="44"/>
      <c r="O131" s="67"/>
      <c r="P131" s="70"/>
      <c r="Q131" s="71"/>
      <c r="R131" s="71"/>
      <c r="S131" s="72"/>
      <c r="T131" s="67"/>
      <c r="U131" s="42" t="s">
        <v>338</v>
      </c>
      <c r="V131" s="42" t="s">
        <v>338</v>
      </c>
      <c r="W131" s="42" t="s">
        <v>338</v>
      </c>
      <c r="X131" s="45" t="s">
        <v>338</v>
      </c>
    </row>
    <row r="132" spans="2:24" s="29" customFormat="1" ht="33" customHeight="1">
      <c r="B132" s="50"/>
      <c r="C132" s="49"/>
      <c r="D132" s="39"/>
      <c r="E132" s="39"/>
      <c r="F132" s="49"/>
      <c r="G132" s="39"/>
      <c r="H132" s="39"/>
      <c r="I132" s="50"/>
      <c r="J132" s="28"/>
      <c r="K132" s="43"/>
      <c r="L132" s="47" t="s">
        <v>338</v>
      </c>
      <c r="M132" s="43"/>
      <c r="N132" s="44"/>
      <c r="O132" s="67"/>
      <c r="P132" s="70"/>
      <c r="Q132" s="71"/>
      <c r="R132" s="71"/>
      <c r="S132" s="72"/>
      <c r="T132" s="67"/>
      <c r="U132" s="42" t="s">
        <v>338</v>
      </c>
      <c r="V132" s="42" t="s">
        <v>338</v>
      </c>
      <c r="W132" s="42" t="s">
        <v>338</v>
      </c>
      <c r="X132" s="45" t="s">
        <v>338</v>
      </c>
    </row>
    <row r="133" spans="2:24" s="29" customFormat="1" ht="33" customHeight="1">
      <c r="B133" s="50"/>
      <c r="C133" s="49"/>
      <c r="D133" s="39"/>
      <c r="E133" s="39"/>
      <c r="F133" s="49"/>
      <c r="G133" s="39"/>
      <c r="H133" s="39"/>
      <c r="I133" s="50"/>
      <c r="J133" s="28"/>
      <c r="K133" s="43"/>
      <c r="L133" s="47" t="s">
        <v>338</v>
      </c>
      <c r="M133" s="43"/>
      <c r="N133" s="44"/>
      <c r="O133" s="67"/>
      <c r="P133" s="70"/>
      <c r="Q133" s="71"/>
      <c r="R133" s="71"/>
      <c r="S133" s="72"/>
      <c r="T133" s="67"/>
      <c r="U133" s="42" t="s">
        <v>338</v>
      </c>
      <c r="V133" s="42" t="s">
        <v>338</v>
      </c>
      <c r="W133" s="42" t="s">
        <v>338</v>
      </c>
      <c r="X133" s="45" t="s">
        <v>338</v>
      </c>
    </row>
    <row r="134" spans="2:24" s="29" customFormat="1" ht="33" customHeight="1">
      <c r="B134" s="50"/>
      <c r="C134" s="49"/>
      <c r="D134" s="39"/>
      <c r="E134" s="39"/>
      <c r="F134" s="49"/>
      <c r="G134" s="39"/>
      <c r="H134" s="39"/>
      <c r="I134" s="50"/>
      <c r="J134" s="28"/>
      <c r="K134" s="43"/>
      <c r="L134" s="47" t="s">
        <v>338</v>
      </c>
      <c r="M134" s="43"/>
      <c r="N134" s="44"/>
      <c r="O134" s="67"/>
      <c r="P134" s="70"/>
      <c r="Q134" s="71"/>
      <c r="R134" s="71"/>
      <c r="S134" s="72"/>
      <c r="T134" s="67"/>
      <c r="U134" s="42" t="s">
        <v>338</v>
      </c>
      <c r="V134" s="42" t="s">
        <v>338</v>
      </c>
      <c r="W134" s="42" t="s">
        <v>338</v>
      </c>
      <c r="X134" s="45" t="s">
        <v>338</v>
      </c>
    </row>
    <row r="135" spans="2:24" s="29" customFormat="1" ht="33" customHeight="1">
      <c r="B135" s="50"/>
      <c r="C135" s="49"/>
      <c r="D135" s="39"/>
      <c r="E135" s="39"/>
      <c r="F135" s="49"/>
      <c r="G135" s="39"/>
      <c r="H135" s="39"/>
      <c r="I135" s="50"/>
      <c r="J135" s="28"/>
      <c r="K135" s="43"/>
      <c r="L135" s="47" t="s">
        <v>338</v>
      </c>
      <c r="M135" s="43"/>
      <c r="N135" s="44"/>
      <c r="O135" s="67"/>
      <c r="P135" s="70"/>
      <c r="Q135" s="71"/>
      <c r="R135" s="71"/>
      <c r="S135" s="72"/>
      <c r="T135" s="67"/>
      <c r="U135" s="42" t="s">
        <v>338</v>
      </c>
      <c r="V135" s="42" t="s">
        <v>338</v>
      </c>
      <c r="W135" s="42" t="s">
        <v>338</v>
      </c>
      <c r="X135" s="45" t="s">
        <v>338</v>
      </c>
    </row>
    <row r="136" spans="2:24" s="29" customFormat="1" ht="33" customHeight="1">
      <c r="B136" s="50"/>
      <c r="C136" s="49"/>
      <c r="D136" s="39"/>
      <c r="E136" s="39"/>
      <c r="F136" s="49"/>
      <c r="G136" s="39"/>
      <c r="H136" s="39"/>
      <c r="I136" s="50"/>
      <c r="J136" s="28"/>
      <c r="K136" s="43"/>
      <c r="L136" s="47" t="s">
        <v>338</v>
      </c>
      <c r="M136" s="43"/>
      <c r="N136" s="44"/>
      <c r="O136" s="67"/>
      <c r="P136" s="70"/>
      <c r="Q136" s="71"/>
      <c r="R136" s="71"/>
      <c r="S136" s="72"/>
      <c r="T136" s="67"/>
      <c r="U136" s="42" t="s">
        <v>338</v>
      </c>
      <c r="V136" s="42" t="s">
        <v>338</v>
      </c>
      <c r="W136" s="42" t="s">
        <v>338</v>
      </c>
      <c r="X136" s="45" t="s">
        <v>338</v>
      </c>
    </row>
    <row r="137" spans="2:24" s="29" customFormat="1" ht="33" customHeight="1">
      <c r="B137" s="50"/>
      <c r="C137" s="49"/>
      <c r="D137" s="39"/>
      <c r="E137" s="39"/>
      <c r="F137" s="49"/>
      <c r="G137" s="39"/>
      <c r="H137" s="39"/>
      <c r="I137" s="50"/>
      <c r="J137" s="28"/>
      <c r="K137" s="43"/>
      <c r="L137" s="47" t="s">
        <v>338</v>
      </c>
      <c r="M137" s="43"/>
      <c r="N137" s="44"/>
      <c r="O137" s="67"/>
      <c r="P137" s="70"/>
      <c r="Q137" s="71"/>
      <c r="R137" s="71"/>
      <c r="S137" s="72"/>
      <c r="T137" s="67"/>
      <c r="U137" s="42" t="s">
        <v>338</v>
      </c>
      <c r="V137" s="42" t="s">
        <v>338</v>
      </c>
      <c r="W137" s="42" t="s">
        <v>338</v>
      </c>
      <c r="X137" s="45" t="s">
        <v>338</v>
      </c>
    </row>
    <row r="138" spans="2:24" s="29" customFormat="1" ht="33" customHeight="1">
      <c r="B138" s="50"/>
      <c r="C138" s="49"/>
      <c r="D138" s="39"/>
      <c r="E138" s="39"/>
      <c r="F138" s="49"/>
      <c r="G138" s="39"/>
      <c r="H138" s="39"/>
      <c r="I138" s="50"/>
      <c r="J138" s="28"/>
      <c r="K138" s="43"/>
      <c r="L138" s="47" t="s">
        <v>338</v>
      </c>
      <c r="M138" s="43"/>
      <c r="N138" s="44"/>
      <c r="O138" s="67"/>
      <c r="P138" s="70"/>
      <c r="Q138" s="71"/>
      <c r="R138" s="71"/>
      <c r="S138" s="72"/>
      <c r="T138" s="67"/>
      <c r="U138" s="42" t="s">
        <v>338</v>
      </c>
      <c r="V138" s="42" t="s">
        <v>338</v>
      </c>
      <c r="W138" s="42" t="s">
        <v>338</v>
      </c>
      <c r="X138" s="45" t="s">
        <v>338</v>
      </c>
    </row>
    <row r="139" spans="2:24" s="29" customFormat="1" ht="33" customHeight="1">
      <c r="B139" s="50"/>
      <c r="C139" s="49"/>
      <c r="D139" s="39"/>
      <c r="E139" s="39"/>
      <c r="F139" s="49"/>
      <c r="G139" s="39"/>
      <c r="H139" s="39"/>
      <c r="I139" s="50"/>
      <c r="J139" s="28"/>
      <c r="K139" s="43"/>
      <c r="L139" s="47" t="s">
        <v>338</v>
      </c>
      <c r="M139" s="43"/>
      <c r="N139" s="44"/>
      <c r="O139" s="67"/>
      <c r="P139" s="70"/>
      <c r="Q139" s="71"/>
      <c r="R139" s="71"/>
      <c r="S139" s="72"/>
      <c r="T139" s="67"/>
      <c r="U139" s="42" t="s">
        <v>338</v>
      </c>
      <c r="V139" s="42" t="s">
        <v>338</v>
      </c>
      <c r="W139" s="42" t="s">
        <v>338</v>
      </c>
      <c r="X139" s="45" t="s">
        <v>338</v>
      </c>
    </row>
    <row r="140" spans="2:24" s="29" customFormat="1" ht="33" customHeight="1">
      <c r="B140" s="50"/>
      <c r="C140" s="49"/>
      <c r="D140" s="39"/>
      <c r="E140" s="39"/>
      <c r="F140" s="49"/>
      <c r="G140" s="39"/>
      <c r="H140" s="39"/>
      <c r="I140" s="50"/>
      <c r="J140" s="28"/>
      <c r="K140" s="43"/>
      <c r="L140" s="47" t="s">
        <v>338</v>
      </c>
      <c r="M140" s="43"/>
      <c r="N140" s="44"/>
      <c r="O140" s="67"/>
      <c r="P140" s="70"/>
      <c r="Q140" s="71"/>
      <c r="R140" s="71"/>
      <c r="S140" s="72"/>
      <c r="T140" s="67"/>
      <c r="U140" s="42" t="s">
        <v>338</v>
      </c>
      <c r="V140" s="42" t="s">
        <v>338</v>
      </c>
      <c r="W140" s="42" t="s">
        <v>338</v>
      </c>
      <c r="X140" s="45" t="s">
        <v>338</v>
      </c>
    </row>
    <row r="141" spans="2:24" s="29" customFormat="1" ht="33" customHeight="1">
      <c r="B141" s="50"/>
      <c r="C141" s="49"/>
      <c r="D141" s="39"/>
      <c r="E141" s="39"/>
      <c r="F141" s="49"/>
      <c r="G141" s="39"/>
      <c r="H141" s="39"/>
      <c r="I141" s="50"/>
      <c r="J141" s="28"/>
      <c r="K141" s="43"/>
      <c r="L141" s="47" t="s">
        <v>338</v>
      </c>
      <c r="M141" s="43"/>
      <c r="N141" s="44"/>
      <c r="O141" s="67"/>
      <c r="P141" s="70"/>
      <c r="Q141" s="71"/>
      <c r="R141" s="71"/>
      <c r="S141" s="72"/>
      <c r="T141" s="67"/>
      <c r="U141" s="42" t="s">
        <v>338</v>
      </c>
      <c r="V141" s="42" t="s">
        <v>338</v>
      </c>
      <c r="W141" s="42" t="s">
        <v>338</v>
      </c>
      <c r="X141" s="45" t="s">
        <v>338</v>
      </c>
    </row>
    <row r="142" spans="2:24" s="29" customFormat="1" ht="33" customHeight="1">
      <c r="B142" s="50"/>
      <c r="C142" s="49"/>
      <c r="D142" s="39"/>
      <c r="E142" s="39"/>
      <c r="F142" s="49"/>
      <c r="G142" s="39"/>
      <c r="H142" s="39"/>
      <c r="I142" s="50"/>
      <c r="J142" s="28"/>
      <c r="K142" s="43"/>
      <c r="L142" s="47" t="s">
        <v>338</v>
      </c>
      <c r="M142" s="43"/>
      <c r="N142" s="44"/>
      <c r="O142" s="67"/>
      <c r="P142" s="70"/>
      <c r="Q142" s="71"/>
      <c r="R142" s="71"/>
      <c r="S142" s="72"/>
      <c r="T142" s="67"/>
      <c r="U142" s="42" t="s">
        <v>338</v>
      </c>
      <c r="V142" s="42" t="s">
        <v>338</v>
      </c>
      <c r="W142" s="42" t="s">
        <v>338</v>
      </c>
      <c r="X142" s="45" t="s">
        <v>338</v>
      </c>
    </row>
    <row r="143" spans="2:24" s="29" customFormat="1" ht="33" customHeight="1">
      <c r="B143" s="50"/>
      <c r="C143" s="49"/>
      <c r="D143" s="39"/>
      <c r="E143" s="39"/>
      <c r="F143" s="49"/>
      <c r="G143" s="39"/>
      <c r="H143" s="39"/>
      <c r="I143" s="50"/>
      <c r="J143" s="28"/>
      <c r="K143" s="43"/>
      <c r="L143" s="47" t="s">
        <v>338</v>
      </c>
      <c r="M143" s="43"/>
      <c r="N143" s="44"/>
      <c r="O143" s="67"/>
      <c r="P143" s="70"/>
      <c r="Q143" s="71"/>
      <c r="R143" s="71"/>
      <c r="S143" s="72"/>
      <c r="T143" s="67"/>
      <c r="U143" s="42" t="s">
        <v>338</v>
      </c>
      <c r="V143" s="42" t="s">
        <v>338</v>
      </c>
      <c r="W143" s="42" t="s">
        <v>338</v>
      </c>
      <c r="X143" s="45" t="s">
        <v>338</v>
      </c>
    </row>
    <row r="144" spans="2:24" s="29" customFormat="1" ht="33" customHeight="1">
      <c r="B144" s="50"/>
      <c r="C144" s="49"/>
      <c r="D144" s="39"/>
      <c r="E144" s="39"/>
      <c r="F144" s="49"/>
      <c r="G144" s="39"/>
      <c r="H144" s="39"/>
      <c r="I144" s="50"/>
      <c r="J144" s="28"/>
      <c r="K144" s="43"/>
      <c r="L144" s="47" t="s">
        <v>338</v>
      </c>
      <c r="M144" s="43"/>
      <c r="N144" s="44"/>
      <c r="O144" s="67"/>
      <c r="P144" s="70"/>
      <c r="Q144" s="71"/>
      <c r="R144" s="71"/>
      <c r="S144" s="72"/>
      <c r="T144" s="67"/>
      <c r="U144" s="42" t="s">
        <v>338</v>
      </c>
      <c r="V144" s="42" t="s">
        <v>338</v>
      </c>
      <c r="W144" s="42" t="s">
        <v>338</v>
      </c>
      <c r="X144" s="45" t="s">
        <v>338</v>
      </c>
    </row>
    <row r="145" spans="2:24" s="29" customFormat="1" ht="33" customHeight="1">
      <c r="B145" s="50"/>
      <c r="C145" s="49"/>
      <c r="D145" s="39"/>
      <c r="E145" s="39"/>
      <c r="F145" s="49"/>
      <c r="G145" s="39"/>
      <c r="H145" s="39"/>
      <c r="I145" s="50"/>
      <c r="J145" s="28"/>
      <c r="K145" s="43"/>
      <c r="L145" s="47" t="s">
        <v>338</v>
      </c>
      <c r="M145" s="43"/>
      <c r="N145" s="44"/>
      <c r="O145" s="67"/>
      <c r="P145" s="70"/>
      <c r="Q145" s="71"/>
      <c r="R145" s="71"/>
      <c r="S145" s="72"/>
      <c r="T145" s="67"/>
      <c r="U145" s="42" t="s">
        <v>338</v>
      </c>
      <c r="V145" s="42" t="s">
        <v>338</v>
      </c>
      <c r="W145" s="42" t="s">
        <v>338</v>
      </c>
      <c r="X145" s="45" t="s">
        <v>338</v>
      </c>
    </row>
    <row r="146" spans="2:24" s="29" customFormat="1" ht="33" customHeight="1">
      <c r="B146" s="50"/>
      <c r="C146" s="49"/>
      <c r="D146" s="39"/>
      <c r="E146" s="39"/>
      <c r="F146" s="49"/>
      <c r="G146" s="39"/>
      <c r="H146" s="39"/>
      <c r="I146" s="50"/>
      <c r="J146" s="28"/>
      <c r="K146" s="43"/>
      <c r="L146" s="47" t="s">
        <v>338</v>
      </c>
      <c r="M146" s="43"/>
      <c r="N146" s="44"/>
      <c r="O146" s="67"/>
      <c r="P146" s="70"/>
      <c r="Q146" s="71"/>
      <c r="R146" s="71"/>
      <c r="S146" s="72"/>
      <c r="T146" s="67"/>
      <c r="U146" s="42" t="s">
        <v>338</v>
      </c>
      <c r="V146" s="42" t="s">
        <v>338</v>
      </c>
      <c r="W146" s="42" t="s">
        <v>338</v>
      </c>
      <c r="X146" s="45" t="s">
        <v>338</v>
      </c>
    </row>
    <row r="147" spans="2:24" s="29" customFormat="1" ht="33" customHeight="1">
      <c r="B147" s="50"/>
      <c r="C147" s="49"/>
      <c r="D147" s="39"/>
      <c r="E147" s="39"/>
      <c r="F147" s="49"/>
      <c r="G147" s="39"/>
      <c r="H147" s="39"/>
      <c r="I147" s="50"/>
      <c r="J147" s="28"/>
      <c r="K147" s="43"/>
      <c r="L147" s="47" t="s">
        <v>338</v>
      </c>
      <c r="M147" s="43"/>
      <c r="N147" s="44"/>
      <c r="O147" s="67"/>
      <c r="P147" s="70"/>
      <c r="Q147" s="71"/>
      <c r="R147" s="71"/>
      <c r="S147" s="72"/>
      <c r="T147" s="67"/>
      <c r="U147" s="42" t="s">
        <v>338</v>
      </c>
      <c r="V147" s="42" t="s">
        <v>338</v>
      </c>
      <c r="W147" s="42" t="s">
        <v>338</v>
      </c>
      <c r="X147" s="45" t="s">
        <v>338</v>
      </c>
    </row>
    <row r="148" spans="2:24" s="29" customFormat="1" ht="33" customHeight="1">
      <c r="B148" s="50"/>
      <c r="C148" s="49"/>
      <c r="D148" s="39"/>
      <c r="E148" s="39"/>
      <c r="F148" s="49"/>
      <c r="G148" s="39"/>
      <c r="H148" s="39"/>
      <c r="I148" s="50"/>
      <c r="J148" s="28"/>
      <c r="K148" s="43"/>
      <c r="L148" s="47" t="s">
        <v>338</v>
      </c>
      <c r="M148" s="43"/>
      <c r="N148" s="44"/>
      <c r="O148" s="67"/>
      <c r="P148" s="70"/>
      <c r="Q148" s="71"/>
      <c r="R148" s="71"/>
      <c r="S148" s="72"/>
      <c r="T148" s="67"/>
      <c r="U148" s="42" t="s">
        <v>338</v>
      </c>
      <c r="V148" s="42" t="s">
        <v>338</v>
      </c>
      <c r="W148" s="42" t="s">
        <v>338</v>
      </c>
      <c r="X148" s="45" t="s">
        <v>338</v>
      </c>
    </row>
    <row r="149" spans="2:24" s="29" customFormat="1" ht="33" customHeight="1">
      <c r="B149" s="50"/>
      <c r="C149" s="49"/>
      <c r="D149" s="39"/>
      <c r="E149" s="39"/>
      <c r="F149" s="49"/>
      <c r="G149" s="39"/>
      <c r="H149" s="39"/>
      <c r="I149" s="50"/>
      <c r="J149" s="28"/>
      <c r="K149" s="43"/>
      <c r="L149" s="47" t="s">
        <v>338</v>
      </c>
      <c r="M149" s="43"/>
      <c r="N149" s="44"/>
      <c r="O149" s="67"/>
      <c r="P149" s="70"/>
      <c r="Q149" s="71"/>
      <c r="R149" s="71"/>
      <c r="S149" s="72"/>
      <c r="T149" s="67"/>
      <c r="U149" s="42" t="s">
        <v>338</v>
      </c>
      <c r="V149" s="42" t="s">
        <v>338</v>
      </c>
      <c r="W149" s="42" t="s">
        <v>338</v>
      </c>
      <c r="X149" s="45" t="s">
        <v>338</v>
      </c>
    </row>
    <row r="150" spans="2:24" s="29" customFormat="1" ht="33" customHeight="1">
      <c r="B150" s="50"/>
      <c r="C150" s="49"/>
      <c r="D150" s="39"/>
      <c r="E150" s="39"/>
      <c r="F150" s="49"/>
      <c r="G150" s="39"/>
      <c r="H150" s="39"/>
      <c r="I150" s="50"/>
      <c r="J150" s="28"/>
      <c r="K150" s="43"/>
      <c r="L150" s="47" t="s">
        <v>338</v>
      </c>
      <c r="M150" s="43"/>
      <c r="N150" s="44"/>
      <c r="O150" s="67"/>
      <c r="P150" s="70"/>
      <c r="Q150" s="71"/>
      <c r="R150" s="71"/>
      <c r="S150" s="72"/>
      <c r="T150" s="67"/>
      <c r="U150" s="42" t="s">
        <v>338</v>
      </c>
      <c r="V150" s="42" t="s">
        <v>338</v>
      </c>
      <c r="W150" s="42" t="s">
        <v>338</v>
      </c>
      <c r="X150" s="45" t="s">
        <v>338</v>
      </c>
    </row>
    <row r="151" spans="2:24" s="29" customFormat="1" ht="33" customHeight="1">
      <c r="B151" s="50"/>
      <c r="C151" s="49"/>
      <c r="D151" s="39"/>
      <c r="E151" s="39"/>
      <c r="F151" s="49"/>
      <c r="G151" s="39"/>
      <c r="H151" s="39"/>
      <c r="I151" s="50"/>
      <c r="J151" s="28"/>
      <c r="K151" s="43"/>
      <c r="L151" s="47" t="s">
        <v>338</v>
      </c>
      <c r="M151" s="43"/>
      <c r="N151" s="44"/>
      <c r="O151" s="67"/>
      <c r="P151" s="70"/>
      <c r="Q151" s="71"/>
      <c r="R151" s="71"/>
      <c r="S151" s="72"/>
      <c r="T151" s="67"/>
      <c r="U151" s="42" t="s">
        <v>338</v>
      </c>
      <c r="V151" s="42" t="s">
        <v>338</v>
      </c>
      <c r="W151" s="42" t="s">
        <v>338</v>
      </c>
      <c r="X151" s="45" t="s">
        <v>338</v>
      </c>
    </row>
    <row r="152" spans="2:24" s="29" customFormat="1" ht="33" customHeight="1">
      <c r="B152" s="50"/>
      <c r="C152" s="49"/>
      <c r="D152" s="39"/>
      <c r="E152" s="39"/>
      <c r="F152" s="49"/>
      <c r="G152" s="39"/>
      <c r="H152" s="39"/>
      <c r="I152" s="50"/>
      <c r="J152" s="28"/>
      <c r="K152" s="43"/>
      <c r="L152" s="47" t="s">
        <v>338</v>
      </c>
      <c r="M152" s="43"/>
      <c r="N152" s="44"/>
      <c r="O152" s="67"/>
      <c r="P152" s="70"/>
      <c r="Q152" s="71"/>
      <c r="R152" s="71"/>
      <c r="S152" s="72"/>
      <c r="T152" s="67"/>
      <c r="U152" s="42" t="s">
        <v>338</v>
      </c>
      <c r="V152" s="42" t="s">
        <v>338</v>
      </c>
      <c r="W152" s="42" t="s">
        <v>338</v>
      </c>
      <c r="X152" s="45" t="s">
        <v>338</v>
      </c>
    </row>
    <row r="153" spans="2:24" s="29" customFormat="1" ht="33" customHeight="1">
      <c r="B153" s="50"/>
      <c r="C153" s="49"/>
      <c r="D153" s="39"/>
      <c r="E153" s="39"/>
      <c r="F153" s="49"/>
      <c r="G153" s="39"/>
      <c r="H153" s="39"/>
      <c r="I153" s="50"/>
      <c r="J153" s="28"/>
      <c r="K153" s="43"/>
      <c r="L153" s="47" t="s">
        <v>338</v>
      </c>
      <c r="M153" s="43"/>
      <c r="N153" s="44"/>
      <c r="O153" s="67"/>
      <c r="P153" s="70"/>
      <c r="Q153" s="71"/>
      <c r="R153" s="71"/>
      <c r="S153" s="72"/>
      <c r="T153" s="67"/>
      <c r="U153" s="42" t="s">
        <v>338</v>
      </c>
      <c r="V153" s="42" t="s">
        <v>338</v>
      </c>
      <c r="W153" s="42" t="s">
        <v>338</v>
      </c>
      <c r="X153" s="45" t="s">
        <v>338</v>
      </c>
    </row>
    <row r="154" spans="2:24" s="29" customFormat="1" ht="33" customHeight="1">
      <c r="B154" s="50"/>
      <c r="C154" s="49"/>
      <c r="D154" s="39"/>
      <c r="E154" s="39"/>
      <c r="F154" s="49"/>
      <c r="G154" s="39"/>
      <c r="H154" s="39"/>
      <c r="I154" s="50"/>
      <c r="J154" s="28"/>
      <c r="K154" s="43"/>
      <c r="L154" s="47" t="s">
        <v>338</v>
      </c>
      <c r="M154" s="43"/>
      <c r="N154" s="44"/>
      <c r="O154" s="67"/>
      <c r="P154" s="70"/>
      <c r="Q154" s="71"/>
      <c r="R154" s="71"/>
      <c r="S154" s="72"/>
      <c r="T154" s="67"/>
      <c r="U154" s="42" t="s">
        <v>338</v>
      </c>
      <c r="V154" s="42" t="s">
        <v>338</v>
      </c>
      <c r="W154" s="42" t="s">
        <v>338</v>
      </c>
      <c r="X154" s="45" t="s">
        <v>338</v>
      </c>
    </row>
    <row r="155" spans="2:24" s="29" customFormat="1" ht="33" customHeight="1">
      <c r="B155" s="50"/>
      <c r="C155" s="49"/>
      <c r="D155" s="39"/>
      <c r="E155" s="39"/>
      <c r="F155" s="49"/>
      <c r="G155" s="39"/>
      <c r="H155" s="39"/>
      <c r="I155" s="50"/>
      <c r="J155" s="28"/>
      <c r="K155" s="43"/>
      <c r="L155" s="47" t="s">
        <v>338</v>
      </c>
      <c r="M155" s="43"/>
      <c r="N155" s="44"/>
      <c r="O155" s="67"/>
      <c r="P155" s="70"/>
      <c r="Q155" s="71"/>
      <c r="R155" s="71"/>
      <c r="S155" s="72"/>
      <c r="T155" s="67"/>
      <c r="U155" s="42" t="s">
        <v>338</v>
      </c>
      <c r="V155" s="42" t="s">
        <v>338</v>
      </c>
      <c r="W155" s="42" t="s">
        <v>338</v>
      </c>
      <c r="X155" s="45" t="s">
        <v>338</v>
      </c>
    </row>
    <row r="156" spans="2:24" s="29" customFormat="1" ht="33" customHeight="1">
      <c r="B156" s="50"/>
      <c r="C156" s="49"/>
      <c r="D156" s="39"/>
      <c r="E156" s="39"/>
      <c r="F156" s="49"/>
      <c r="G156" s="39"/>
      <c r="H156" s="39"/>
      <c r="I156" s="50"/>
      <c r="J156" s="28"/>
      <c r="K156" s="43"/>
      <c r="L156" s="47" t="s">
        <v>338</v>
      </c>
      <c r="M156" s="43"/>
      <c r="N156" s="44"/>
      <c r="O156" s="67"/>
      <c r="P156" s="70"/>
      <c r="Q156" s="71"/>
      <c r="R156" s="71"/>
      <c r="S156" s="72"/>
      <c r="T156" s="67"/>
      <c r="U156" s="42" t="s">
        <v>338</v>
      </c>
      <c r="V156" s="42" t="s">
        <v>338</v>
      </c>
      <c r="W156" s="42" t="s">
        <v>338</v>
      </c>
      <c r="X156" s="45" t="s">
        <v>338</v>
      </c>
    </row>
    <row r="157" spans="2:24" s="29" customFormat="1" ht="33" customHeight="1">
      <c r="B157" s="50"/>
      <c r="C157" s="49"/>
      <c r="D157" s="39"/>
      <c r="E157" s="39"/>
      <c r="F157" s="49"/>
      <c r="G157" s="39"/>
      <c r="H157" s="39"/>
      <c r="I157" s="50"/>
      <c r="J157" s="28"/>
      <c r="K157" s="43"/>
      <c r="L157" s="47" t="s">
        <v>338</v>
      </c>
      <c r="M157" s="43"/>
      <c r="N157" s="44"/>
      <c r="O157" s="67"/>
      <c r="P157" s="70"/>
      <c r="Q157" s="71"/>
      <c r="R157" s="71"/>
      <c r="S157" s="72"/>
      <c r="T157" s="67"/>
      <c r="U157" s="42" t="s">
        <v>338</v>
      </c>
      <c r="V157" s="42" t="s">
        <v>338</v>
      </c>
      <c r="W157" s="42" t="s">
        <v>338</v>
      </c>
      <c r="X157" s="45" t="s">
        <v>338</v>
      </c>
    </row>
    <row r="158" spans="2:24" s="29" customFormat="1" ht="33" customHeight="1">
      <c r="B158" s="50"/>
      <c r="C158" s="49"/>
      <c r="D158" s="39"/>
      <c r="E158" s="39"/>
      <c r="F158" s="49"/>
      <c r="G158" s="39"/>
      <c r="H158" s="39"/>
      <c r="I158" s="50"/>
      <c r="J158" s="28"/>
      <c r="K158" s="43"/>
      <c r="L158" s="47" t="s">
        <v>338</v>
      </c>
      <c r="M158" s="43"/>
      <c r="N158" s="44"/>
      <c r="O158" s="67"/>
      <c r="P158" s="70"/>
      <c r="Q158" s="71"/>
      <c r="R158" s="71"/>
      <c r="S158" s="72"/>
      <c r="T158" s="67"/>
      <c r="U158" s="42" t="s">
        <v>338</v>
      </c>
      <c r="V158" s="42" t="s">
        <v>338</v>
      </c>
      <c r="W158" s="42" t="s">
        <v>338</v>
      </c>
      <c r="X158" s="45" t="s">
        <v>338</v>
      </c>
    </row>
    <row r="159" spans="2:24" s="29" customFormat="1" ht="33" customHeight="1">
      <c r="B159" s="50"/>
      <c r="C159" s="49"/>
      <c r="D159" s="39"/>
      <c r="E159" s="39"/>
      <c r="F159" s="49"/>
      <c r="G159" s="39"/>
      <c r="H159" s="39"/>
      <c r="I159" s="50"/>
      <c r="J159" s="28"/>
      <c r="K159" s="43"/>
      <c r="L159" s="47" t="s">
        <v>338</v>
      </c>
      <c r="M159" s="43"/>
      <c r="N159" s="44"/>
      <c r="O159" s="67"/>
      <c r="P159" s="70"/>
      <c r="Q159" s="71"/>
      <c r="R159" s="71"/>
      <c r="S159" s="72"/>
      <c r="T159" s="67"/>
      <c r="U159" s="42" t="s">
        <v>338</v>
      </c>
      <c r="V159" s="42" t="s">
        <v>338</v>
      </c>
      <c r="W159" s="42" t="s">
        <v>338</v>
      </c>
      <c r="X159" s="45" t="s">
        <v>338</v>
      </c>
    </row>
    <row r="160" spans="2:24" s="29" customFormat="1" ht="33" customHeight="1">
      <c r="B160" s="50"/>
      <c r="C160" s="49"/>
      <c r="D160" s="39"/>
      <c r="E160" s="39"/>
      <c r="F160" s="49"/>
      <c r="G160" s="39"/>
      <c r="H160" s="39"/>
      <c r="I160" s="50"/>
      <c r="J160" s="28"/>
      <c r="K160" s="43"/>
      <c r="L160" s="47" t="s">
        <v>338</v>
      </c>
      <c r="M160" s="43"/>
      <c r="N160" s="44"/>
      <c r="O160" s="67"/>
      <c r="P160" s="70"/>
      <c r="Q160" s="71"/>
      <c r="R160" s="71"/>
      <c r="S160" s="72"/>
      <c r="T160" s="67"/>
      <c r="U160" s="42" t="s">
        <v>338</v>
      </c>
      <c r="V160" s="42" t="s">
        <v>338</v>
      </c>
      <c r="W160" s="42" t="s">
        <v>338</v>
      </c>
      <c r="X160" s="45" t="s">
        <v>338</v>
      </c>
    </row>
    <row r="161" spans="2:24" s="29" customFormat="1" ht="33" customHeight="1">
      <c r="B161" s="50"/>
      <c r="C161" s="49"/>
      <c r="D161" s="39"/>
      <c r="E161" s="39"/>
      <c r="F161" s="49"/>
      <c r="G161" s="39"/>
      <c r="H161" s="39"/>
      <c r="I161" s="50"/>
      <c r="J161" s="28"/>
      <c r="K161" s="43"/>
      <c r="L161" s="47" t="s">
        <v>338</v>
      </c>
      <c r="M161" s="43"/>
      <c r="N161" s="44"/>
      <c r="O161" s="67"/>
      <c r="P161" s="70"/>
      <c r="Q161" s="71"/>
      <c r="R161" s="71"/>
      <c r="S161" s="72"/>
      <c r="T161" s="67"/>
      <c r="U161" s="42" t="s">
        <v>338</v>
      </c>
      <c r="V161" s="42" t="s">
        <v>338</v>
      </c>
      <c r="W161" s="42" t="s">
        <v>338</v>
      </c>
      <c r="X161" s="45" t="s">
        <v>338</v>
      </c>
    </row>
    <row r="162" spans="2:24" s="29" customFormat="1" ht="33" customHeight="1">
      <c r="B162" s="50"/>
      <c r="C162" s="49"/>
      <c r="D162" s="39"/>
      <c r="E162" s="39"/>
      <c r="F162" s="49"/>
      <c r="G162" s="39"/>
      <c r="H162" s="39"/>
      <c r="I162" s="50"/>
      <c r="J162" s="28"/>
      <c r="K162" s="43"/>
      <c r="L162" s="47" t="s">
        <v>338</v>
      </c>
      <c r="M162" s="43"/>
      <c r="N162" s="44"/>
      <c r="O162" s="67"/>
      <c r="P162" s="70"/>
      <c r="Q162" s="71"/>
      <c r="R162" s="71"/>
      <c r="S162" s="72"/>
      <c r="T162" s="67"/>
      <c r="U162" s="42" t="s">
        <v>338</v>
      </c>
      <c r="V162" s="42" t="s">
        <v>338</v>
      </c>
      <c r="W162" s="42" t="s">
        <v>338</v>
      </c>
      <c r="X162" s="45" t="s">
        <v>338</v>
      </c>
    </row>
    <row r="163" spans="2:24" s="29" customFormat="1" ht="33" customHeight="1">
      <c r="B163" s="50"/>
      <c r="C163" s="49"/>
      <c r="D163" s="39"/>
      <c r="E163" s="39"/>
      <c r="F163" s="49"/>
      <c r="G163" s="39"/>
      <c r="H163" s="39"/>
      <c r="I163" s="50"/>
      <c r="J163" s="28"/>
      <c r="K163" s="43"/>
      <c r="L163" s="47" t="s">
        <v>338</v>
      </c>
      <c r="M163" s="43"/>
      <c r="N163" s="44"/>
      <c r="O163" s="67"/>
      <c r="P163" s="70"/>
      <c r="Q163" s="71"/>
      <c r="R163" s="71"/>
      <c r="S163" s="72"/>
      <c r="T163" s="67"/>
      <c r="U163" s="42" t="s">
        <v>338</v>
      </c>
      <c r="V163" s="42" t="s">
        <v>338</v>
      </c>
      <c r="W163" s="42" t="s">
        <v>338</v>
      </c>
      <c r="X163" s="45" t="s">
        <v>338</v>
      </c>
    </row>
    <row r="164" spans="2:24" s="29" customFormat="1" ht="33" customHeight="1">
      <c r="B164" s="50"/>
      <c r="C164" s="49"/>
      <c r="D164" s="39"/>
      <c r="E164" s="39"/>
      <c r="F164" s="49"/>
      <c r="G164" s="39"/>
      <c r="H164" s="39"/>
      <c r="I164" s="50"/>
      <c r="J164" s="28"/>
      <c r="K164" s="43"/>
      <c r="L164" s="47" t="s">
        <v>338</v>
      </c>
      <c r="M164" s="43"/>
      <c r="N164" s="44"/>
      <c r="O164" s="67"/>
      <c r="P164" s="70"/>
      <c r="Q164" s="71"/>
      <c r="R164" s="71"/>
      <c r="S164" s="72"/>
      <c r="T164" s="67"/>
      <c r="U164" s="42" t="s">
        <v>338</v>
      </c>
      <c r="V164" s="42" t="s">
        <v>338</v>
      </c>
      <c r="W164" s="42" t="s">
        <v>338</v>
      </c>
      <c r="X164" s="45" t="s">
        <v>338</v>
      </c>
    </row>
    <row r="165" spans="2:24" s="29" customFormat="1" ht="33" customHeight="1">
      <c r="B165" s="50"/>
      <c r="C165" s="49"/>
      <c r="D165" s="39"/>
      <c r="E165" s="39"/>
      <c r="F165" s="49"/>
      <c r="G165" s="39"/>
      <c r="H165" s="39"/>
      <c r="I165" s="50"/>
      <c r="J165" s="28"/>
      <c r="K165" s="43"/>
      <c r="L165" s="47" t="s">
        <v>338</v>
      </c>
      <c r="M165" s="43"/>
      <c r="N165" s="44"/>
      <c r="O165" s="67"/>
      <c r="P165" s="70"/>
      <c r="Q165" s="71"/>
      <c r="R165" s="71"/>
      <c r="S165" s="72"/>
      <c r="T165" s="67"/>
      <c r="U165" s="42" t="s">
        <v>338</v>
      </c>
      <c r="V165" s="42" t="s">
        <v>338</v>
      </c>
      <c r="W165" s="42" t="s">
        <v>338</v>
      </c>
      <c r="X165" s="45" t="s">
        <v>338</v>
      </c>
    </row>
    <row r="166" spans="2:24" s="29" customFormat="1" ht="33" customHeight="1">
      <c r="B166" s="50"/>
      <c r="C166" s="49"/>
      <c r="D166" s="39"/>
      <c r="E166" s="39"/>
      <c r="F166" s="49"/>
      <c r="G166" s="39"/>
      <c r="H166" s="39"/>
      <c r="I166" s="50"/>
      <c r="J166" s="28"/>
      <c r="K166" s="43"/>
      <c r="L166" s="47" t="s">
        <v>338</v>
      </c>
      <c r="M166" s="43"/>
      <c r="N166" s="44"/>
      <c r="O166" s="67"/>
      <c r="P166" s="70"/>
      <c r="Q166" s="71"/>
      <c r="R166" s="71"/>
      <c r="S166" s="72"/>
      <c r="T166" s="67"/>
      <c r="U166" s="42" t="s">
        <v>338</v>
      </c>
      <c r="V166" s="42" t="s">
        <v>338</v>
      </c>
      <c r="W166" s="42" t="s">
        <v>338</v>
      </c>
      <c r="X166" s="45" t="s">
        <v>338</v>
      </c>
    </row>
    <row r="167" spans="2:24" s="29" customFormat="1" ht="33" customHeight="1">
      <c r="B167" s="50"/>
      <c r="C167" s="49"/>
      <c r="D167" s="39"/>
      <c r="E167" s="39"/>
      <c r="F167" s="49"/>
      <c r="G167" s="39"/>
      <c r="H167" s="39"/>
      <c r="I167" s="50"/>
      <c r="J167" s="28"/>
      <c r="K167" s="43"/>
      <c r="L167" s="47" t="s">
        <v>338</v>
      </c>
      <c r="M167" s="43"/>
      <c r="N167" s="44"/>
      <c r="O167" s="67"/>
      <c r="P167" s="70"/>
      <c r="Q167" s="71"/>
      <c r="R167" s="71"/>
      <c r="S167" s="72"/>
      <c r="T167" s="67"/>
      <c r="U167" s="42" t="s">
        <v>338</v>
      </c>
      <c r="V167" s="42" t="s">
        <v>338</v>
      </c>
      <c r="W167" s="42" t="s">
        <v>338</v>
      </c>
      <c r="X167" s="45" t="s">
        <v>338</v>
      </c>
    </row>
    <row r="168" spans="2:24" s="29" customFormat="1" ht="33" customHeight="1">
      <c r="B168" s="50"/>
      <c r="C168" s="49"/>
      <c r="D168" s="39"/>
      <c r="E168" s="39"/>
      <c r="F168" s="49"/>
      <c r="G168" s="39"/>
      <c r="H168" s="39"/>
      <c r="I168" s="50"/>
      <c r="J168" s="28"/>
      <c r="K168" s="43"/>
      <c r="L168" s="47" t="s">
        <v>338</v>
      </c>
      <c r="M168" s="43"/>
      <c r="N168" s="44"/>
      <c r="O168" s="67"/>
      <c r="P168" s="70"/>
      <c r="Q168" s="71"/>
      <c r="R168" s="71"/>
      <c r="S168" s="72"/>
      <c r="T168" s="67"/>
      <c r="U168" s="42" t="s">
        <v>338</v>
      </c>
      <c r="V168" s="42" t="s">
        <v>338</v>
      </c>
      <c r="W168" s="42" t="s">
        <v>338</v>
      </c>
      <c r="X168" s="45" t="s">
        <v>338</v>
      </c>
    </row>
    <row r="169" spans="2:24" s="29" customFormat="1" ht="33" customHeight="1">
      <c r="B169" s="50"/>
      <c r="C169" s="49"/>
      <c r="D169" s="39"/>
      <c r="E169" s="39"/>
      <c r="F169" s="49"/>
      <c r="G169" s="39"/>
      <c r="H169" s="39"/>
      <c r="I169" s="50"/>
      <c r="J169" s="28"/>
      <c r="K169" s="43"/>
      <c r="L169" s="47" t="s">
        <v>338</v>
      </c>
      <c r="M169" s="43"/>
      <c r="N169" s="44"/>
      <c r="O169" s="67"/>
      <c r="P169" s="70"/>
      <c r="Q169" s="71"/>
      <c r="R169" s="71"/>
      <c r="S169" s="72"/>
      <c r="T169" s="67"/>
      <c r="U169" s="42" t="s">
        <v>338</v>
      </c>
      <c r="V169" s="42" t="s">
        <v>338</v>
      </c>
      <c r="W169" s="42" t="s">
        <v>338</v>
      </c>
      <c r="X169" s="45" t="s">
        <v>338</v>
      </c>
    </row>
    <row r="170" spans="2:24" s="29" customFormat="1" ht="33" customHeight="1">
      <c r="B170" s="50"/>
      <c r="C170" s="49"/>
      <c r="D170" s="39"/>
      <c r="E170" s="39"/>
      <c r="F170" s="49"/>
      <c r="G170" s="39"/>
      <c r="H170" s="39"/>
      <c r="I170" s="50"/>
      <c r="J170" s="28"/>
      <c r="K170" s="43"/>
      <c r="L170" s="47" t="s">
        <v>338</v>
      </c>
      <c r="M170" s="43"/>
      <c r="N170" s="44"/>
      <c r="O170" s="67"/>
      <c r="P170" s="70"/>
      <c r="Q170" s="71"/>
      <c r="R170" s="71"/>
      <c r="S170" s="72"/>
      <c r="T170" s="67"/>
      <c r="U170" s="42" t="s">
        <v>338</v>
      </c>
      <c r="V170" s="42" t="s">
        <v>338</v>
      </c>
      <c r="W170" s="42" t="s">
        <v>338</v>
      </c>
      <c r="X170" s="45" t="s">
        <v>338</v>
      </c>
    </row>
    <row r="171" spans="2:24" s="29" customFormat="1" ht="33" customHeight="1">
      <c r="B171" s="50"/>
      <c r="C171" s="49"/>
      <c r="D171" s="39"/>
      <c r="E171" s="39"/>
      <c r="F171" s="49"/>
      <c r="G171" s="39"/>
      <c r="H171" s="39"/>
      <c r="I171" s="50"/>
      <c r="J171" s="28"/>
      <c r="K171" s="43"/>
      <c r="L171" s="47" t="s">
        <v>338</v>
      </c>
      <c r="M171" s="43"/>
      <c r="N171" s="44"/>
      <c r="O171" s="67"/>
      <c r="P171" s="70"/>
      <c r="Q171" s="71"/>
      <c r="R171" s="71"/>
      <c r="S171" s="72"/>
      <c r="T171" s="67"/>
      <c r="U171" s="42" t="s">
        <v>338</v>
      </c>
      <c r="V171" s="42" t="s">
        <v>338</v>
      </c>
      <c r="W171" s="42" t="s">
        <v>338</v>
      </c>
      <c r="X171" s="45" t="s">
        <v>338</v>
      </c>
    </row>
    <row r="172" spans="2:24" s="29" customFormat="1" ht="33" customHeight="1">
      <c r="B172" s="50"/>
      <c r="C172" s="49"/>
      <c r="D172" s="39"/>
      <c r="E172" s="39"/>
      <c r="F172" s="49"/>
      <c r="G172" s="39"/>
      <c r="H172" s="39"/>
      <c r="I172" s="50"/>
      <c r="J172" s="28"/>
      <c r="K172" s="43"/>
      <c r="L172" s="47" t="s">
        <v>338</v>
      </c>
      <c r="M172" s="43"/>
      <c r="N172" s="44"/>
      <c r="O172" s="67"/>
      <c r="P172" s="70"/>
      <c r="Q172" s="71"/>
      <c r="R172" s="71"/>
      <c r="S172" s="72"/>
      <c r="T172" s="67"/>
      <c r="U172" s="42" t="s">
        <v>338</v>
      </c>
      <c r="V172" s="42" t="s">
        <v>338</v>
      </c>
      <c r="W172" s="42" t="s">
        <v>338</v>
      </c>
      <c r="X172" s="45" t="s">
        <v>338</v>
      </c>
    </row>
    <row r="173" spans="2:24" s="29" customFormat="1" ht="33" customHeight="1">
      <c r="B173" s="50"/>
      <c r="C173" s="49"/>
      <c r="D173" s="39"/>
      <c r="E173" s="39"/>
      <c r="F173" s="49"/>
      <c r="G173" s="39"/>
      <c r="H173" s="39"/>
      <c r="I173" s="50"/>
      <c r="J173" s="28"/>
      <c r="K173" s="43"/>
      <c r="L173" s="47" t="s">
        <v>338</v>
      </c>
      <c r="M173" s="43"/>
      <c r="N173" s="44"/>
      <c r="O173" s="67"/>
      <c r="P173" s="70"/>
      <c r="Q173" s="71"/>
      <c r="R173" s="71"/>
      <c r="S173" s="72"/>
      <c r="T173" s="67"/>
      <c r="U173" s="42" t="s">
        <v>338</v>
      </c>
      <c r="V173" s="42" t="s">
        <v>338</v>
      </c>
      <c r="W173" s="42" t="s">
        <v>338</v>
      </c>
      <c r="X173" s="45" t="s">
        <v>338</v>
      </c>
    </row>
    <row r="174" spans="2:24" s="29" customFormat="1" ht="33" customHeight="1">
      <c r="B174" s="50"/>
      <c r="C174" s="49"/>
      <c r="D174" s="39"/>
      <c r="E174" s="39"/>
      <c r="F174" s="49"/>
      <c r="G174" s="39"/>
      <c r="H174" s="39"/>
      <c r="I174" s="50"/>
      <c r="J174" s="28"/>
      <c r="K174" s="43"/>
      <c r="L174" s="47" t="s">
        <v>338</v>
      </c>
      <c r="M174" s="43"/>
      <c r="N174" s="44"/>
      <c r="O174" s="67"/>
      <c r="P174" s="70"/>
      <c r="Q174" s="71"/>
      <c r="R174" s="71"/>
      <c r="S174" s="72"/>
      <c r="T174" s="67"/>
      <c r="U174" s="42" t="s">
        <v>338</v>
      </c>
      <c r="V174" s="42" t="s">
        <v>338</v>
      </c>
      <c r="W174" s="42" t="s">
        <v>338</v>
      </c>
      <c r="X174" s="45" t="s">
        <v>338</v>
      </c>
    </row>
    <row r="175" spans="2:24" s="29" customFormat="1" ht="33" customHeight="1">
      <c r="B175" s="50"/>
      <c r="C175" s="49"/>
      <c r="D175" s="39"/>
      <c r="E175" s="39"/>
      <c r="F175" s="49"/>
      <c r="G175" s="39"/>
      <c r="H175" s="39"/>
      <c r="I175" s="50"/>
      <c r="J175" s="28"/>
      <c r="K175" s="43"/>
      <c r="L175" s="47" t="s">
        <v>338</v>
      </c>
      <c r="M175" s="43"/>
      <c r="N175" s="44"/>
      <c r="O175" s="67"/>
      <c r="P175" s="70"/>
      <c r="Q175" s="71"/>
      <c r="R175" s="71"/>
      <c r="S175" s="72"/>
      <c r="T175" s="67"/>
      <c r="U175" s="42" t="s">
        <v>338</v>
      </c>
      <c r="V175" s="42" t="s">
        <v>338</v>
      </c>
      <c r="W175" s="42" t="s">
        <v>338</v>
      </c>
      <c r="X175" s="45" t="s">
        <v>338</v>
      </c>
    </row>
    <row r="176" spans="2:24" s="29" customFormat="1" ht="33" customHeight="1">
      <c r="B176" s="50"/>
      <c r="C176" s="49"/>
      <c r="D176" s="39"/>
      <c r="E176" s="39"/>
      <c r="F176" s="49"/>
      <c r="G176" s="39"/>
      <c r="H176" s="39"/>
      <c r="I176" s="50"/>
      <c r="J176" s="28"/>
      <c r="K176" s="43"/>
      <c r="L176" s="47" t="s">
        <v>338</v>
      </c>
      <c r="M176" s="43"/>
      <c r="N176" s="44"/>
      <c r="O176" s="67"/>
      <c r="P176" s="70"/>
      <c r="Q176" s="71"/>
      <c r="R176" s="71"/>
      <c r="S176" s="72"/>
      <c r="T176" s="67"/>
      <c r="U176" s="42" t="s">
        <v>338</v>
      </c>
      <c r="V176" s="42" t="s">
        <v>338</v>
      </c>
      <c r="W176" s="42" t="s">
        <v>338</v>
      </c>
      <c r="X176" s="45" t="s">
        <v>338</v>
      </c>
    </row>
    <row r="177" spans="2:24" s="29" customFormat="1" ht="33" customHeight="1">
      <c r="B177" s="50"/>
      <c r="C177" s="49"/>
      <c r="D177" s="39"/>
      <c r="E177" s="39"/>
      <c r="F177" s="49"/>
      <c r="G177" s="39"/>
      <c r="H177" s="39"/>
      <c r="I177" s="50"/>
      <c r="J177" s="28"/>
      <c r="K177" s="43"/>
      <c r="L177" s="47" t="s">
        <v>338</v>
      </c>
      <c r="M177" s="43"/>
      <c r="N177" s="44"/>
      <c r="O177" s="67"/>
      <c r="P177" s="70"/>
      <c r="Q177" s="71"/>
      <c r="R177" s="71"/>
      <c r="S177" s="72"/>
      <c r="T177" s="67"/>
      <c r="U177" s="42" t="s">
        <v>338</v>
      </c>
      <c r="V177" s="42" t="s">
        <v>338</v>
      </c>
      <c r="W177" s="42" t="s">
        <v>338</v>
      </c>
      <c r="X177" s="45" t="s">
        <v>338</v>
      </c>
    </row>
    <row r="178" spans="2:24" s="29" customFormat="1" ht="33" customHeight="1">
      <c r="B178" s="50"/>
      <c r="C178" s="49"/>
      <c r="D178" s="39"/>
      <c r="E178" s="39"/>
      <c r="F178" s="49"/>
      <c r="G178" s="39"/>
      <c r="H178" s="39"/>
      <c r="I178" s="50"/>
      <c r="J178" s="28"/>
      <c r="K178" s="43"/>
      <c r="L178" s="47" t="s">
        <v>338</v>
      </c>
      <c r="M178" s="43"/>
      <c r="N178" s="44"/>
      <c r="O178" s="67"/>
      <c r="P178" s="70"/>
      <c r="Q178" s="71"/>
      <c r="R178" s="71"/>
      <c r="S178" s="72"/>
      <c r="T178" s="67"/>
      <c r="U178" s="42" t="s">
        <v>338</v>
      </c>
      <c r="V178" s="42" t="s">
        <v>338</v>
      </c>
      <c r="W178" s="42" t="s">
        <v>338</v>
      </c>
      <c r="X178" s="45" t="s">
        <v>338</v>
      </c>
    </row>
    <row r="179" spans="2:24" s="29" customFormat="1" ht="33" customHeight="1">
      <c r="B179" s="50"/>
      <c r="C179" s="49"/>
      <c r="D179" s="39"/>
      <c r="E179" s="39"/>
      <c r="F179" s="49"/>
      <c r="G179" s="39"/>
      <c r="H179" s="39"/>
      <c r="I179" s="50"/>
      <c r="J179" s="28"/>
      <c r="K179" s="43"/>
      <c r="L179" s="47" t="s">
        <v>338</v>
      </c>
      <c r="M179" s="43"/>
      <c r="N179" s="44"/>
      <c r="O179" s="67"/>
      <c r="P179" s="70"/>
      <c r="Q179" s="71"/>
      <c r="R179" s="71"/>
      <c r="S179" s="72"/>
      <c r="T179" s="67"/>
      <c r="U179" s="42" t="s">
        <v>338</v>
      </c>
      <c r="V179" s="42" t="s">
        <v>338</v>
      </c>
      <c r="W179" s="42" t="s">
        <v>338</v>
      </c>
      <c r="X179" s="45" t="s">
        <v>338</v>
      </c>
    </row>
    <row r="180" spans="2:24" s="29" customFormat="1" ht="33" customHeight="1">
      <c r="B180" s="50"/>
      <c r="C180" s="49"/>
      <c r="D180" s="39"/>
      <c r="E180" s="39"/>
      <c r="F180" s="49"/>
      <c r="G180" s="39"/>
      <c r="H180" s="39"/>
      <c r="I180" s="50"/>
      <c r="J180" s="28"/>
      <c r="K180" s="43"/>
      <c r="L180" s="47" t="s">
        <v>338</v>
      </c>
      <c r="M180" s="43"/>
      <c r="N180" s="44"/>
      <c r="O180" s="67"/>
      <c r="P180" s="70"/>
      <c r="Q180" s="71"/>
      <c r="R180" s="71"/>
      <c r="S180" s="72"/>
      <c r="T180" s="67"/>
      <c r="U180" s="42" t="s">
        <v>338</v>
      </c>
      <c r="V180" s="42" t="s">
        <v>338</v>
      </c>
      <c r="W180" s="42" t="s">
        <v>338</v>
      </c>
      <c r="X180" s="45" t="s">
        <v>338</v>
      </c>
    </row>
    <row r="181" spans="2:24" s="29" customFormat="1" ht="33" customHeight="1">
      <c r="B181" s="50"/>
      <c r="C181" s="49"/>
      <c r="D181" s="39"/>
      <c r="E181" s="39"/>
      <c r="F181" s="49"/>
      <c r="G181" s="39"/>
      <c r="H181" s="39"/>
      <c r="I181" s="50"/>
      <c r="J181" s="28"/>
      <c r="K181" s="43"/>
      <c r="L181" s="47" t="s">
        <v>338</v>
      </c>
      <c r="M181" s="43"/>
      <c r="N181" s="44"/>
      <c r="O181" s="67"/>
      <c r="P181" s="70"/>
      <c r="Q181" s="71"/>
      <c r="R181" s="71"/>
      <c r="S181" s="72"/>
      <c r="T181" s="67"/>
      <c r="U181" s="42" t="s">
        <v>338</v>
      </c>
      <c r="V181" s="42" t="s">
        <v>338</v>
      </c>
      <c r="W181" s="42" t="s">
        <v>338</v>
      </c>
      <c r="X181" s="45" t="s">
        <v>338</v>
      </c>
    </row>
    <row r="182" spans="2:24" s="29" customFormat="1" ht="33" customHeight="1">
      <c r="B182" s="50"/>
      <c r="C182" s="49"/>
      <c r="D182" s="39"/>
      <c r="E182" s="39"/>
      <c r="F182" s="49"/>
      <c r="G182" s="39"/>
      <c r="H182" s="39"/>
      <c r="I182" s="50"/>
      <c r="J182" s="28"/>
      <c r="K182" s="43"/>
      <c r="L182" s="47" t="s">
        <v>338</v>
      </c>
      <c r="M182" s="43"/>
      <c r="N182" s="44"/>
      <c r="O182" s="67"/>
      <c r="P182" s="70"/>
      <c r="Q182" s="71"/>
      <c r="R182" s="71"/>
      <c r="S182" s="72"/>
      <c r="T182" s="67"/>
      <c r="U182" s="42" t="s">
        <v>338</v>
      </c>
      <c r="V182" s="42" t="s">
        <v>338</v>
      </c>
      <c r="W182" s="42" t="s">
        <v>338</v>
      </c>
      <c r="X182" s="45" t="s">
        <v>338</v>
      </c>
    </row>
    <row r="183" spans="2:24" s="29" customFormat="1" ht="33" customHeight="1">
      <c r="B183" s="50"/>
      <c r="C183" s="49"/>
      <c r="D183" s="39"/>
      <c r="E183" s="39"/>
      <c r="F183" s="49"/>
      <c r="G183" s="39"/>
      <c r="H183" s="39"/>
      <c r="I183" s="50"/>
      <c r="J183" s="28"/>
      <c r="K183" s="43"/>
      <c r="L183" s="47" t="s">
        <v>338</v>
      </c>
      <c r="M183" s="43"/>
      <c r="N183" s="44"/>
      <c r="O183" s="67"/>
      <c r="P183" s="70"/>
      <c r="Q183" s="71"/>
      <c r="R183" s="71"/>
      <c r="S183" s="72"/>
      <c r="T183" s="67"/>
      <c r="U183" s="42" t="s">
        <v>338</v>
      </c>
      <c r="V183" s="42" t="s">
        <v>338</v>
      </c>
      <c r="W183" s="42" t="s">
        <v>338</v>
      </c>
      <c r="X183" s="45" t="s">
        <v>338</v>
      </c>
    </row>
    <row r="184" spans="2:24" s="29" customFormat="1" ht="33" customHeight="1">
      <c r="B184" s="50"/>
      <c r="C184" s="49"/>
      <c r="D184" s="39"/>
      <c r="E184" s="39"/>
      <c r="F184" s="49"/>
      <c r="G184" s="39"/>
      <c r="H184" s="39"/>
      <c r="I184" s="50"/>
      <c r="J184" s="28"/>
      <c r="K184" s="43"/>
      <c r="L184" s="47" t="s">
        <v>338</v>
      </c>
      <c r="M184" s="43"/>
      <c r="N184" s="44"/>
      <c r="O184" s="67"/>
      <c r="P184" s="70"/>
      <c r="Q184" s="71"/>
      <c r="R184" s="71"/>
      <c r="S184" s="72"/>
      <c r="T184" s="67"/>
      <c r="U184" s="42" t="s">
        <v>338</v>
      </c>
      <c r="V184" s="42" t="s">
        <v>338</v>
      </c>
      <c r="W184" s="42" t="s">
        <v>338</v>
      </c>
      <c r="X184" s="45" t="s">
        <v>338</v>
      </c>
    </row>
    <row r="185" spans="2:24" s="29" customFormat="1" ht="33" customHeight="1">
      <c r="B185" s="50"/>
      <c r="C185" s="49"/>
      <c r="D185" s="39"/>
      <c r="E185" s="39"/>
      <c r="F185" s="49"/>
      <c r="G185" s="39"/>
      <c r="H185" s="39"/>
      <c r="I185" s="50"/>
      <c r="J185" s="28"/>
      <c r="K185" s="43"/>
      <c r="L185" s="47" t="s">
        <v>338</v>
      </c>
      <c r="M185" s="43"/>
      <c r="N185" s="44"/>
      <c r="O185" s="67"/>
      <c r="P185" s="70"/>
      <c r="Q185" s="71"/>
      <c r="R185" s="71"/>
      <c r="S185" s="72"/>
      <c r="T185" s="67"/>
      <c r="U185" s="42" t="s">
        <v>338</v>
      </c>
      <c r="V185" s="42" t="s">
        <v>338</v>
      </c>
      <c r="W185" s="42" t="s">
        <v>338</v>
      </c>
      <c r="X185" s="45" t="s">
        <v>338</v>
      </c>
    </row>
    <row r="186" spans="2:24" s="29" customFormat="1" ht="33" customHeight="1">
      <c r="B186" s="50"/>
      <c r="C186" s="49"/>
      <c r="D186" s="39"/>
      <c r="E186" s="39"/>
      <c r="F186" s="49"/>
      <c r="G186" s="39"/>
      <c r="H186" s="39"/>
      <c r="I186" s="50"/>
      <c r="J186" s="28"/>
      <c r="K186" s="43"/>
      <c r="L186" s="47" t="s">
        <v>338</v>
      </c>
      <c r="M186" s="43"/>
      <c r="N186" s="44"/>
      <c r="O186" s="67"/>
      <c r="P186" s="70"/>
      <c r="Q186" s="71"/>
      <c r="R186" s="71"/>
      <c r="S186" s="72"/>
      <c r="T186" s="67"/>
      <c r="U186" s="42" t="s">
        <v>338</v>
      </c>
      <c r="V186" s="42" t="s">
        <v>338</v>
      </c>
      <c r="W186" s="42" t="s">
        <v>338</v>
      </c>
      <c r="X186" s="45" t="s">
        <v>338</v>
      </c>
    </row>
    <row r="187" spans="2:24" s="29" customFormat="1" ht="33" customHeight="1">
      <c r="B187" s="50"/>
      <c r="C187" s="49"/>
      <c r="D187" s="39"/>
      <c r="E187" s="39"/>
      <c r="F187" s="49"/>
      <c r="G187" s="39"/>
      <c r="H187" s="39"/>
      <c r="I187" s="50"/>
      <c r="J187" s="28"/>
      <c r="K187" s="43"/>
      <c r="L187" s="47" t="s">
        <v>338</v>
      </c>
      <c r="M187" s="43"/>
      <c r="N187" s="44"/>
      <c r="O187" s="67"/>
      <c r="P187" s="70"/>
      <c r="Q187" s="71"/>
      <c r="R187" s="71"/>
      <c r="S187" s="72"/>
      <c r="T187" s="67"/>
      <c r="U187" s="42" t="s">
        <v>338</v>
      </c>
      <c r="V187" s="42" t="s">
        <v>338</v>
      </c>
      <c r="W187" s="42" t="s">
        <v>338</v>
      </c>
      <c r="X187" s="45" t="s">
        <v>338</v>
      </c>
    </row>
    <row r="188" spans="2:24" s="29" customFormat="1" ht="33" customHeight="1">
      <c r="B188" s="50"/>
      <c r="C188" s="49"/>
      <c r="D188" s="39"/>
      <c r="E188" s="39"/>
      <c r="F188" s="49"/>
      <c r="G188" s="39"/>
      <c r="H188" s="39"/>
      <c r="I188" s="50"/>
      <c r="J188" s="28"/>
      <c r="K188" s="43"/>
      <c r="L188" s="47" t="s">
        <v>338</v>
      </c>
      <c r="M188" s="43"/>
      <c r="N188" s="44"/>
      <c r="O188" s="67"/>
      <c r="P188" s="70"/>
      <c r="Q188" s="71"/>
      <c r="R188" s="71"/>
      <c r="S188" s="72"/>
      <c r="T188" s="67"/>
      <c r="U188" s="42" t="s">
        <v>338</v>
      </c>
      <c r="V188" s="42" t="s">
        <v>338</v>
      </c>
      <c r="W188" s="42" t="s">
        <v>338</v>
      </c>
      <c r="X188" s="45" t="s">
        <v>338</v>
      </c>
    </row>
    <row r="189" spans="2:24" s="29" customFormat="1" ht="33" customHeight="1">
      <c r="B189" s="50"/>
      <c r="C189" s="49"/>
      <c r="D189" s="39"/>
      <c r="E189" s="39"/>
      <c r="F189" s="49"/>
      <c r="G189" s="39"/>
      <c r="H189" s="39"/>
      <c r="I189" s="50"/>
      <c r="J189" s="28"/>
      <c r="K189" s="43"/>
      <c r="L189" s="47" t="s">
        <v>338</v>
      </c>
      <c r="M189" s="43"/>
      <c r="N189" s="44"/>
      <c r="O189" s="67"/>
      <c r="P189" s="70"/>
      <c r="Q189" s="71"/>
      <c r="R189" s="71"/>
      <c r="S189" s="72"/>
      <c r="T189" s="67"/>
      <c r="U189" s="42" t="s">
        <v>338</v>
      </c>
      <c r="V189" s="42" t="s">
        <v>338</v>
      </c>
      <c r="W189" s="42" t="s">
        <v>338</v>
      </c>
      <c r="X189" s="45" t="s">
        <v>338</v>
      </c>
    </row>
    <row r="190" spans="2:24" s="29" customFormat="1" ht="33" customHeight="1">
      <c r="B190" s="50"/>
      <c r="C190" s="49"/>
      <c r="D190" s="39"/>
      <c r="E190" s="39"/>
      <c r="F190" s="49"/>
      <c r="G190" s="39"/>
      <c r="H190" s="39"/>
      <c r="I190" s="50"/>
      <c r="J190" s="28"/>
      <c r="K190" s="43"/>
      <c r="L190" s="47" t="s">
        <v>338</v>
      </c>
      <c r="M190" s="43"/>
      <c r="N190" s="44"/>
      <c r="O190" s="67"/>
      <c r="P190" s="70"/>
      <c r="Q190" s="71"/>
      <c r="R190" s="71"/>
      <c r="S190" s="72"/>
      <c r="T190" s="67"/>
      <c r="U190" s="42" t="s">
        <v>338</v>
      </c>
      <c r="V190" s="42" t="s">
        <v>338</v>
      </c>
      <c r="W190" s="42" t="s">
        <v>338</v>
      </c>
      <c r="X190" s="45" t="s">
        <v>338</v>
      </c>
    </row>
    <row r="191" spans="2:24" s="29" customFormat="1" ht="33" customHeight="1">
      <c r="B191" s="50"/>
      <c r="C191" s="49"/>
      <c r="D191" s="39"/>
      <c r="E191" s="39"/>
      <c r="F191" s="49"/>
      <c r="G191" s="39"/>
      <c r="H191" s="39"/>
      <c r="I191" s="50"/>
      <c r="J191" s="28"/>
      <c r="K191" s="43"/>
      <c r="L191" s="47" t="s">
        <v>338</v>
      </c>
      <c r="M191" s="43"/>
      <c r="N191" s="44"/>
      <c r="O191" s="67"/>
      <c r="P191" s="70"/>
      <c r="Q191" s="71"/>
      <c r="R191" s="71"/>
      <c r="S191" s="72"/>
      <c r="T191" s="67"/>
      <c r="U191" s="42" t="s">
        <v>338</v>
      </c>
      <c r="V191" s="42" t="s">
        <v>338</v>
      </c>
      <c r="W191" s="42" t="s">
        <v>338</v>
      </c>
      <c r="X191" s="45" t="s">
        <v>338</v>
      </c>
    </row>
    <row r="192" spans="2:24" s="29" customFormat="1" ht="33" customHeight="1">
      <c r="B192" s="50"/>
      <c r="C192" s="49"/>
      <c r="D192" s="39"/>
      <c r="E192" s="39"/>
      <c r="F192" s="49"/>
      <c r="G192" s="39"/>
      <c r="H192" s="39"/>
      <c r="I192" s="50"/>
      <c r="J192" s="28"/>
      <c r="K192" s="43"/>
      <c r="L192" s="47" t="s">
        <v>338</v>
      </c>
      <c r="M192" s="43"/>
      <c r="N192" s="44"/>
      <c r="O192" s="67"/>
      <c r="P192" s="70"/>
      <c r="Q192" s="71"/>
      <c r="R192" s="71"/>
      <c r="S192" s="72"/>
      <c r="T192" s="67"/>
      <c r="U192" s="42" t="s">
        <v>338</v>
      </c>
      <c r="V192" s="42" t="s">
        <v>338</v>
      </c>
      <c r="W192" s="42" t="s">
        <v>338</v>
      </c>
      <c r="X192" s="45" t="s">
        <v>338</v>
      </c>
    </row>
    <row r="193" spans="2:24" s="29" customFormat="1" ht="33" customHeight="1">
      <c r="B193" s="50"/>
      <c r="C193" s="49"/>
      <c r="D193" s="39"/>
      <c r="E193" s="39"/>
      <c r="F193" s="49"/>
      <c r="G193" s="39"/>
      <c r="H193" s="39"/>
      <c r="I193" s="50"/>
      <c r="J193" s="28"/>
      <c r="K193" s="43"/>
      <c r="L193" s="47" t="s">
        <v>338</v>
      </c>
      <c r="M193" s="43"/>
      <c r="N193" s="44"/>
      <c r="O193" s="67"/>
      <c r="P193" s="70"/>
      <c r="Q193" s="71"/>
      <c r="R193" s="71"/>
      <c r="S193" s="72"/>
      <c r="T193" s="67"/>
      <c r="U193" s="42" t="s">
        <v>338</v>
      </c>
      <c r="V193" s="42" t="s">
        <v>338</v>
      </c>
      <c r="W193" s="42" t="s">
        <v>338</v>
      </c>
      <c r="X193" s="45" t="s">
        <v>338</v>
      </c>
    </row>
    <row r="194" spans="2:24" s="29" customFormat="1" ht="33" customHeight="1">
      <c r="B194" s="50"/>
      <c r="C194" s="49"/>
      <c r="D194" s="39"/>
      <c r="E194" s="39"/>
      <c r="F194" s="49"/>
      <c r="G194" s="39"/>
      <c r="H194" s="39"/>
      <c r="I194" s="50"/>
      <c r="J194" s="28"/>
      <c r="K194" s="43"/>
      <c r="L194" s="47" t="s">
        <v>338</v>
      </c>
      <c r="M194" s="43"/>
      <c r="N194" s="44"/>
      <c r="O194" s="67"/>
      <c r="P194" s="70"/>
      <c r="Q194" s="71"/>
      <c r="R194" s="71"/>
      <c r="S194" s="72"/>
      <c r="T194" s="67"/>
      <c r="U194" s="42" t="s">
        <v>338</v>
      </c>
      <c r="V194" s="42" t="s">
        <v>338</v>
      </c>
      <c r="W194" s="42" t="s">
        <v>338</v>
      </c>
      <c r="X194" s="45" t="s">
        <v>338</v>
      </c>
    </row>
    <row r="195" spans="2:24" s="29" customFormat="1" ht="33" customHeight="1">
      <c r="B195" s="50"/>
      <c r="C195" s="49"/>
      <c r="D195" s="39"/>
      <c r="E195" s="39"/>
      <c r="F195" s="49"/>
      <c r="G195" s="39"/>
      <c r="H195" s="39"/>
      <c r="I195" s="50"/>
      <c r="J195" s="28"/>
      <c r="K195" s="43"/>
      <c r="L195" s="47" t="s">
        <v>338</v>
      </c>
      <c r="M195" s="43"/>
      <c r="N195" s="44"/>
      <c r="O195" s="67"/>
      <c r="P195" s="70"/>
      <c r="Q195" s="71"/>
      <c r="R195" s="71"/>
      <c r="S195" s="72"/>
      <c r="T195" s="67"/>
      <c r="U195" s="42" t="s">
        <v>338</v>
      </c>
      <c r="V195" s="42" t="s">
        <v>338</v>
      </c>
      <c r="W195" s="42" t="s">
        <v>338</v>
      </c>
      <c r="X195" s="45" t="s">
        <v>338</v>
      </c>
    </row>
    <row r="196" spans="2:24" s="29" customFormat="1" ht="33" customHeight="1">
      <c r="B196" s="50"/>
      <c r="C196" s="49"/>
      <c r="D196" s="39"/>
      <c r="E196" s="39"/>
      <c r="F196" s="49"/>
      <c r="G196" s="39"/>
      <c r="H196" s="39"/>
      <c r="I196" s="50"/>
      <c r="J196" s="28"/>
      <c r="K196" s="43"/>
      <c r="L196" s="47" t="s">
        <v>338</v>
      </c>
      <c r="M196" s="43"/>
      <c r="N196" s="44"/>
      <c r="O196" s="67"/>
      <c r="P196" s="70"/>
      <c r="Q196" s="71"/>
      <c r="R196" s="71"/>
      <c r="S196" s="72"/>
      <c r="T196" s="67"/>
      <c r="U196" s="42" t="s">
        <v>338</v>
      </c>
      <c r="V196" s="42" t="s">
        <v>338</v>
      </c>
      <c r="W196" s="42" t="s">
        <v>338</v>
      </c>
      <c r="X196" s="45" t="s">
        <v>338</v>
      </c>
    </row>
    <row r="197" spans="2:24" s="29" customFormat="1" ht="33" customHeight="1">
      <c r="B197" s="50"/>
      <c r="C197" s="49"/>
      <c r="D197" s="39"/>
      <c r="E197" s="39"/>
      <c r="F197" s="49"/>
      <c r="G197" s="39"/>
      <c r="H197" s="39"/>
      <c r="I197" s="50"/>
      <c r="J197" s="28"/>
      <c r="K197" s="43"/>
      <c r="L197" s="47" t="s">
        <v>338</v>
      </c>
      <c r="M197" s="43"/>
      <c r="N197" s="44"/>
      <c r="O197" s="67"/>
      <c r="P197" s="70"/>
      <c r="Q197" s="71"/>
      <c r="R197" s="71"/>
      <c r="S197" s="72"/>
      <c r="T197" s="67"/>
      <c r="U197" s="42" t="s">
        <v>338</v>
      </c>
      <c r="V197" s="42" t="s">
        <v>338</v>
      </c>
      <c r="W197" s="42" t="s">
        <v>338</v>
      </c>
      <c r="X197" s="45" t="s">
        <v>338</v>
      </c>
    </row>
    <row r="198" spans="2:24" s="29" customFormat="1" ht="33" customHeight="1">
      <c r="B198" s="50"/>
      <c r="C198" s="49"/>
      <c r="D198" s="39"/>
      <c r="E198" s="39"/>
      <c r="F198" s="49"/>
      <c r="G198" s="39"/>
      <c r="H198" s="39"/>
      <c r="I198" s="50"/>
      <c r="J198" s="28"/>
      <c r="K198" s="43"/>
      <c r="L198" s="47" t="s">
        <v>338</v>
      </c>
      <c r="M198" s="43"/>
      <c r="N198" s="44"/>
      <c r="O198" s="67"/>
      <c r="P198" s="70"/>
      <c r="Q198" s="71"/>
      <c r="R198" s="71"/>
      <c r="S198" s="72"/>
      <c r="T198" s="67"/>
      <c r="U198" s="42" t="s">
        <v>338</v>
      </c>
      <c r="V198" s="42" t="s">
        <v>338</v>
      </c>
      <c r="W198" s="42" t="s">
        <v>338</v>
      </c>
      <c r="X198" s="45" t="s">
        <v>338</v>
      </c>
    </row>
    <row r="199" spans="2:24" s="29" customFormat="1" ht="33" customHeight="1">
      <c r="B199" s="50"/>
      <c r="C199" s="49"/>
      <c r="D199" s="39"/>
      <c r="E199" s="39"/>
      <c r="F199" s="49"/>
      <c r="G199" s="39"/>
      <c r="H199" s="39"/>
      <c r="I199" s="50"/>
      <c r="J199" s="28"/>
      <c r="K199" s="43"/>
      <c r="L199" s="47" t="s">
        <v>338</v>
      </c>
      <c r="M199" s="43"/>
      <c r="N199" s="44"/>
      <c r="O199" s="67"/>
      <c r="P199" s="70"/>
      <c r="Q199" s="71"/>
      <c r="R199" s="71"/>
      <c r="S199" s="72"/>
      <c r="T199" s="67"/>
      <c r="U199" s="42" t="s">
        <v>338</v>
      </c>
      <c r="V199" s="42" t="s">
        <v>338</v>
      </c>
      <c r="W199" s="42" t="s">
        <v>338</v>
      </c>
      <c r="X199" s="45" t="s">
        <v>338</v>
      </c>
    </row>
    <row r="200" spans="2:24" s="29" customFormat="1" ht="33" customHeight="1">
      <c r="B200" s="50"/>
      <c r="C200" s="49"/>
      <c r="D200" s="39"/>
      <c r="E200" s="39"/>
      <c r="F200" s="49"/>
      <c r="G200" s="39"/>
      <c r="H200" s="39"/>
      <c r="I200" s="50"/>
      <c r="J200" s="28"/>
      <c r="K200" s="43"/>
      <c r="L200" s="47" t="s">
        <v>338</v>
      </c>
      <c r="M200" s="43"/>
      <c r="N200" s="44"/>
      <c r="O200" s="67"/>
      <c r="P200" s="70"/>
      <c r="Q200" s="71"/>
      <c r="R200" s="71"/>
      <c r="S200" s="72"/>
      <c r="T200" s="67"/>
      <c r="U200" s="42" t="s">
        <v>338</v>
      </c>
      <c r="V200" s="42" t="s">
        <v>338</v>
      </c>
      <c r="W200" s="42" t="s">
        <v>338</v>
      </c>
      <c r="X200" s="45" t="s">
        <v>338</v>
      </c>
    </row>
    <row r="201" spans="2:24" s="29" customFormat="1" ht="33" customHeight="1">
      <c r="B201" s="50"/>
      <c r="C201" s="49"/>
      <c r="D201" s="39"/>
      <c r="E201" s="39"/>
      <c r="F201" s="49"/>
      <c r="G201" s="39"/>
      <c r="H201" s="39"/>
      <c r="I201" s="50"/>
      <c r="J201" s="28"/>
      <c r="K201" s="43"/>
      <c r="L201" s="47" t="s">
        <v>338</v>
      </c>
      <c r="M201" s="43"/>
      <c r="N201" s="44"/>
      <c r="O201" s="67"/>
      <c r="P201" s="70"/>
      <c r="Q201" s="71"/>
      <c r="R201" s="71"/>
      <c r="S201" s="72"/>
      <c r="T201" s="67"/>
      <c r="U201" s="42" t="s">
        <v>338</v>
      </c>
      <c r="V201" s="42" t="s">
        <v>338</v>
      </c>
      <c r="W201" s="42" t="s">
        <v>338</v>
      </c>
      <c r="X201" s="45" t="s">
        <v>338</v>
      </c>
    </row>
    <row r="202" spans="2:24" s="29" customFormat="1" ht="33" customHeight="1">
      <c r="B202" s="50"/>
      <c r="C202" s="49"/>
      <c r="D202" s="39"/>
      <c r="E202" s="39"/>
      <c r="F202" s="49"/>
      <c r="G202" s="39"/>
      <c r="H202" s="39"/>
      <c r="I202" s="50"/>
      <c r="J202" s="28"/>
      <c r="K202" s="43"/>
      <c r="L202" s="47" t="s">
        <v>338</v>
      </c>
      <c r="M202" s="43"/>
      <c r="N202" s="44"/>
      <c r="O202" s="67"/>
      <c r="P202" s="70"/>
      <c r="Q202" s="71"/>
      <c r="R202" s="71"/>
      <c r="S202" s="72"/>
      <c r="T202" s="67"/>
      <c r="U202" s="42" t="s">
        <v>338</v>
      </c>
      <c r="V202" s="42" t="s">
        <v>338</v>
      </c>
      <c r="W202" s="42" t="s">
        <v>338</v>
      </c>
      <c r="X202" s="45" t="s">
        <v>338</v>
      </c>
    </row>
    <row r="203" spans="2:24" s="29" customFormat="1" ht="33" customHeight="1">
      <c r="B203" s="50"/>
      <c r="C203" s="49"/>
      <c r="D203" s="39"/>
      <c r="E203" s="39"/>
      <c r="F203" s="49"/>
      <c r="G203" s="39"/>
      <c r="H203" s="39"/>
      <c r="I203" s="50"/>
      <c r="J203" s="28"/>
      <c r="K203" s="43"/>
      <c r="L203" s="47" t="s">
        <v>338</v>
      </c>
      <c r="M203" s="43"/>
      <c r="N203" s="44"/>
      <c r="O203" s="67"/>
      <c r="P203" s="70"/>
      <c r="Q203" s="71"/>
      <c r="R203" s="71"/>
      <c r="S203" s="72"/>
      <c r="T203" s="67"/>
      <c r="U203" s="42" t="s">
        <v>338</v>
      </c>
      <c r="V203" s="42" t="s">
        <v>338</v>
      </c>
      <c r="W203" s="42" t="s">
        <v>338</v>
      </c>
      <c r="X203" s="45" t="s">
        <v>338</v>
      </c>
    </row>
    <row r="204" spans="2:24" s="29" customFormat="1" ht="33" customHeight="1">
      <c r="B204" s="50"/>
      <c r="C204" s="49"/>
      <c r="D204" s="39"/>
      <c r="E204" s="39"/>
      <c r="F204" s="49"/>
      <c r="G204" s="39"/>
      <c r="H204" s="39"/>
      <c r="I204" s="50"/>
      <c r="J204" s="28"/>
      <c r="K204" s="43"/>
      <c r="L204" s="47" t="s">
        <v>338</v>
      </c>
      <c r="M204" s="43"/>
      <c r="N204" s="44"/>
      <c r="O204" s="67"/>
      <c r="P204" s="70"/>
      <c r="Q204" s="71"/>
      <c r="R204" s="71"/>
      <c r="S204" s="72"/>
      <c r="T204" s="67"/>
      <c r="U204" s="42" t="s">
        <v>338</v>
      </c>
      <c r="V204" s="42" t="s">
        <v>338</v>
      </c>
      <c r="W204" s="42" t="s">
        <v>338</v>
      </c>
      <c r="X204" s="45" t="s">
        <v>338</v>
      </c>
    </row>
    <row r="205" spans="2:24" s="29" customFormat="1" ht="33" customHeight="1">
      <c r="B205" s="50"/>
      <c r="C205" s="49"/>
      <c r="D205" s="39"/>
      <c r="E205" s="39"/>
      <c r="F205" s="49"/>
      <c r="G205" s="39"/>
      <c r="H205" s="39"/>
      <c r="I205" s="50"/>
      <c r="J205" s="28"/>
      <c r="K205" s="43"/>
      <c r="L205" s="47" t="s">
        <v>338</v>
      </c>
      <c r="M205" s="43"/>
      <c r="N205" s="44"/>
      <c r="O205" s="67"/>
      <c r="P205" s="70"/>
      <c r="Q205" s="71"/>
      <c r="R205" s="71"/>
      <c r="S205" s="72"/>
      <c r="T205" s="67"/>
      <c r="U205" s="42" t="s">
        <v>338</v>
      </c>
      <c r="V205" s="42" t="s">
        <v>338</v>
      </c>
      <c r="W205" s="42" t="s">
        <v>338</v>
      </c>
      <c r="X205" s="45" t="s">
        <v>338</v>
      </c>
    </row>
    <row r="206" spans="2:24" s="29" customFormat="1" ht="33" customHeight="1">
      <c r="B206" s="50"/>
      <c r="C206" s="49"/>
      <c r="D206" s="39"/>
      <c r="E206" s="39"/>
      <c r="F206" s="49"/>
      <c r="G206" s="39"/>
      <c r="H206" s="39"/>
      <c r="I206" s="50"/>
      <c r="J206" s="28"/>
      <c r="K206" s="43"/>
      <c r="L206" s="47" t="s">
        <v>338</v>
      </c>
      <c r="M206" s="43"/>
      <c r="N206" s="44"/>
      <c r="O206" s="67"/>
      <c r="P206" s="70"/>
      <c r="Q206" s="71"/>
      <c r="R206" s="71"/>
      <c r="S206" s="72"/>
      <c r="T206" s="67"/>
      <c r="U206" s="42" t="s">
        <v>338</v>
      </c>
      <c r="V206" s="42" t="s">
        <v>338</v>
      </c>
      <c r="W206" s="42" t="s">
        <v>338</v>
      </c>
      <c r="X206" s="45" t="s">
        <v>338</v>
      </c>
    </row>
    <row r="207" spans="2:24" s="29" customFormat="1" ht="33" customHeight="1">
      <c r="B207" s="50"/>
      <c r="C207" s="49"/>
      <c r="D207" s="39"/>
      <c r="E207" s="39"/>
      <c r="F207" s="49"/>
      <c r="G207" s="39"/>
      <c r="H207" s="39"/>
      <c r="I207" s="50"/>
      <c r="J207" s="28"/>
      <c r="K207" s="43"/>
      <c r="L207" s="47" t="s">
        <v>338</v>
      </c>
      <c r="M207" s="43"/>
      <c r="N207" s="44"/>
      <c r="O207" s="67"/>
      <c r="P207" s="70"/>
      <c r="Q207" s="71"/>
      <c r="R207" s="71"/>
      <c r="S207" s="72"/>
      <c r="T207" s="67"/>
      <c r="U207" s="42" t="s">
        <v>338</v>
      </c>
      <c r="V207" s="42" t="s">
        <v>338</v>
      </c>
      <c r="W207" s="42" t="s">
        <v>338</v>
      </c>
      <c r="X207" s="45" t="s">
        <v>338</v>
      </c>
    </row>
    <row r="208" spans="2:24" s="29" customFormat="1" ht="33" customHeight="1">
      <c r="B208" s="50"/>
      <c r="C208" s="49"/>
      <c r="D208" s="39"/>
      <c r="E208" s="39"/>
      <c r="F208" s="49"/>
      <c r="G208" s="39"/>
      <c r="H208" s="39"/>
      <c r="I208" s="50"/>
      <c r="J208" s="28"/>
      <c r="K208" s="43"/>
      <c r="L208" s="47" t="s">
        <v>338</v>
      </c>
      <c r="M208" s="43"/>
      <c r="N208" s="44"/>
      <c r="O208" s="67"/>
      <c r="P208" s="70"/>
      <c r="Q208" s="71"/>
      <c r="R208" s="71"/>
      <c r="S208" s="72"/>
      <c r="T208" s="67"/>
      <c r="U208" s="42" t="s">
        <v>338</v>
      </c>
      <c r="V208" s="42" t="s">
        <v>338</v>
      </c>
      <c r="W208" s="42" t="s">
        <v>338</v>
      </c>
      <c r="X208" s="45" t="s">
        <v>338</v>
      </c>
    </row>
    <row r="209" spans="2:24" s="29" customFormat="1" ht="33" customHeight="1">
      <c r="B209" s="50"/>
      <c r="C209" s="49"/>
      <c r="D209" s="39"/>
      <c r="E209" s="39"/>
      <c r="F209" s="49"/>
      <c r="G209" s="39"/>
      <c r="H209" s="39"/>
      <c r="I209" s="50"/>
      <c r="J209" s="28"/>
      <c r="K209" s="43"/>
      <c r="L209" s="47" t="s">
        <v>338</v>
      </c>
      <c r="M209" s="43"/>
      <c r="N209" s="44"/>
      <c r="O209" s="67"/>
      <c r="P209" s="70"/>
      <c r="Q209" s="71"/>
      <c r="R209" s="71"/>
      <c r="S209" s="72"/>
      <c r="T209" s="67"/>
      <c r="U209" s="42" t="s">
        <v>338</v>
      </c>
      <c r="V209" s="42" t="s">
        <v>338</v>
      </c>
      <c r="W209" s="42" t="s">
        <v>338</v>
      </c>
      <c r="X209" s="45" t="s">
        <v>338</v>
      </c>
    </row>
    <row r="210" spans="2:24" s="29" customFormat="1" ht="33" customHeight="1">
      <c r="B210" s="50"/>
      <c r="C210" s="49"/>
      <c r="D210" s="39"/>
      <c r="E210" s="39"/>
      <c r="F210" s="49"/>
      <c r="G210" s="39"/>
      <c r="H210" s="39"/>
      <c r="I210" s="50"/>
      <c r="J210" s="28"/>
      <c r="K210" s="43"/>
      <c r="L210" s="47" t="s">
        <v>338</v>
      </c>
      <c r="M210" s="43"/>
      <c r="N210" s="44"/>
      <c r="O210" s="67"/>
      <c r="P210" s="70"/>
      <c r="Q210" s="71"/>
      <c r="R210" s="71"/>
      <c r="S210" s="72"/>
      <c r="T210" s="67"/>
      <c r="U210" s="42" t="s">
        <v>338</v>
      </c>
      <c r="V210" s="42" t="s">
        <v>338</v>
      </c>
      <c r="W210" s="42" t="s">
        <v>338</v>
      </c>
      <c r="X210" s="45" t="s">
        <v>338</v>
      </c>
    </row>
    <row r="211" spans="2:24" s="29" customFormat="1" ht="33" customHeight="1">
      <c r="B211" s="50"/>
      <c r="C211" s="49"/>
      <c r="D211" s="39"/>
      <c r="E211" s="39"/>
      <c r="F211" s="49"/>
      <c r="G211" s="39"/>
      <c r="H211" s="39"/>
      <c r="I211" s="50"/>
      <c r="J211" s="28"/>
      <c r="K211" s="43"/>
      <c r="L211" s="47" t="s">
        <v>338</v>
      </c>
      <c r="M211" s="43"/>
      <c r="N211" s="44"/>
      <c r="O211" s="67"/>
      <c r="P211" s="70"/>
      <c r="Q211" s="71"/>
      <c r="R211" s="71"/>
      <c r="S211" s="72"/>
      <c r="T211" s="67"/>
      <c r="U211" s="42" t="s">
        <v>338</v>
      </c>
      <c r="V211" s="42" t="s">
        <v>338</v>
      </c>
      <c r="W211" s="42" t="s">
        <v>338</v>
      </c>
      <c r="X211" s="45" t="s">
        <v>338</v>
      </c>
    </row>
    <row r="212" spans="2:24" s="29" customFormat="1" ht="33" customHeight="1">
      <c r="B212" s="50"/>
      <c r="C212" s="49"/>
      <c r="D212" s="39"/>
      <c r="E212" s="39"/>
      <c r="F212" s="49"/>
      <c r="G212" s="39"/>
      <c r="H212" s="39"/>
      <c r="I212" s="50"/>
      <c r="J212" s="28"/>
      <c r="K212" s="43"/>
      <c r="L212" s="47" t="s">
        <v>338</v>
      </c>
      <c r="M212" s="43"/>
      <c r="N212" s="44"/>
      <c r="O212" s="67"/>
      <c r="P212" s="70"/>
      <c r="Q212" s="71"/>
      <c r="R212" s="71"/>
      <c r="S212" s="72"/>
      <c r="T212" s="67"/>
      <c r="U212" s="42" t="s">
        <v>338</v>
      </c>
      <c r="V212" s="42" t="s">
        <v>338</v>
      </c>
      <c r="W212" s="42" t="s">
        <v>338</v>
      </c>
      <c r="X212" s="45" t="s">
        <v>338</v>
      </c>
    </row>
    <row r="213" spans="2:24" s="29" customFormat="1" ht="33" customHeight="1">
      <c r="B213" s="50"/>
      <c r="C213" s="49"/>
      <c r="D213" s="39"/>
      <c r="E213" s="39"/>
      <c r="F213" s="49"/>
      <c r="G213" s="39"/>
      <c r="H213" s="39"/>
      <c r="I213" s="50"/>
      <c r="J213" s="28"/>
      <c r="K213" s="43"/>
      <c r="L213" s="47" t="s">
        <v>338</v>
      </c>
      <c r="M213" s="43"/>
      <c r="N213" s="44"/>
      <c r="O213" s="67"/>
      <c r="P213" s="70"/>
      <c r="Q213" s="71"/>
      <c r="R213" s="71"/>
      <c r="S213" s="72"/>
      <c r="T213" s="67"/>
      <c r="U213" s="42" t="s">
        <v>338</v>
      </c>
      <c r="V213" s="42" t="s">
        <v>338</v>
      </c>
      <c r="W213" s="42" t="s">
        <v>338</v>
      </c>
      <c r="X213" s="45" t="s">
        <v>338</v>
      </c>
    </row>
    <row r="214" spans="2:24" s="29" customFormat="1" ht="33" customHeight="1">
      <c r="B214" s="50"/>
      <c r="C214" s="49"/>
      <c r="D214" s="39"/>
      <c r="E214" s="39"/>
      <c r="F214" s="49"/>
      <c r="G214" s="39"/>
      <c r="H214" s="39"/>
      <c r="I214" s="50"/>
      <c r="J214" s="28"/>
      <c r="K214" s="43"/>
      <c r="L214" s="47" t="s">
        <v>338</v>
      </c>
      <c r="M214" s="43"/>
      <c r="N214" s="44"/>
      <c r="O214" s="67"/>
      <c r="P214" s="70"/>
      <c r="Q214" s="71"/>
      <c r="R214" s="71"/>
      <c r="S214" s="72"/>
      <c r="T214" s="67"/>
      <c r="U214" s="42" t="s">
        <v>338</v>
      </c>
      <c r="V214" s="42" t="s">
        <v>338</v>
      </c>
      <c r="W214" s="42" t="s">
        <v>338</v>
      </c>
      <c r="X214" s="45" t="s">
        <v>338</v>
      </c>
    </row>
    <row r="215" spans="2:24" s="29" customFormat="1" ht="33" customHeight="1">
      <c r="B215" s="50"/>
      <c r="C215" s="49"/>
      <c r="D215" s="39"/>
      <c r="E215" s="39"/>
      <c r="F215" s="49"/>
      <c r="G215" s="39"/>
      <c r="H215" s="39"/>
      <c r="I215" s="50"/>
      <c r="J215" s="28"/>
      <c r="K215" s="43"/>
      <c r="L215" s="47" t="s">
        <v>338</v>
      </c>
      <c r="M215" s="43"/>
      <c r="N215" s="44"/>
      <c r="O215" s="67"/>
      <c r="P215" s="70"/>
      <c r="Q215" s="71"/>
      <c r="R215" s="71"/>
      <c r="S215" s="72"/>
      <c r="T215" s="67"/>
      <c r="U215" s="42" t="s">
        <v>338</v>
      </c>
      <c r="V215" s="42" t="s">
        <v>338</v>
      </c>
      <c r="W215" s="42" t="s">
        <v>338</v>
      </c>
      <c r="X215" s="45" t="s">
        <v>338</v>
      </c>
    </row>
    <row r="216" spans="2:24">
      <c r="B216" s="54"/>
      <c r="C216" s="54"/>
      <c r="D216" s="63"/>
      <c r="E216" s="63"/>
      <c r="F216" s="63"/>
      <c r="G216" s="63"/>
      <c r="H216" s="63"/>
      <c r="I216" s="54"/>
      <c r="J216" s="53"/>
      <c r="K216" s="64"/>
      <c r="M216" s="64"/>
      <c r="N216" s="64"/>
      <c r="O216" s="86"/>
      <c r="T216" s="86"/>
    </row>
    <row r="217" spans="2:24">
      <c r="B217" s="54"/>
      <c r="C217" s="54"/>
      <c r="D217" s="63"/>
      <c r="E217" s="63"/>
      <c r="F217" s="63"/>
      <c r="G217" s="63"/>
      <c r="H217" s="63"/>
      <c r="I217" s="54"/>
      <c r="J217" s="53"/>
      <c r="K217" s="64"/>
      <c r="M217" s="64"/>
      <c r="N217" s="64"/>
      <c r="O217" s="86"/>
      <c r="T217" s="86"/>
    </row>
    <row r="218" spans="2:24">
      <c r="B218" s="54"/>
      <c r="C218" s="54"/>
      <c r="D218" s="63"/>
      <c r="E218" s="63"/>
      <c r="F218" s="63"/>
      <c r="G218" s="63"/>
      <c r="H218" s="63"/>
      <c r="I218" s="54"/>
      <c r="J218" s="53"/>
      <c r="K218" s="64"/>
      <c r="M218" s="64"/>
      <c r="N218" s="64"/>
      <c r="O218" s="86"/>
      <c r="T218" s="86"/>
    </row>
    <row r="219" spans="2:24">
      <c r="B219" s="54"/>
      <c r="C219" s="54"/>
      <c r="D219" s="63"/>
      <c r="E219" s="63"/>
      <c r="F219" s="63"/>
      <c r="G219" s="63"/>
      <c r="H219" s="63"/>
      <c r="I219" s="54"/>
      <c r="J219" s="53"/>
      <c r="K219" s="64"/>
      <c r="M219" s="64"/>
      <c r="N219" s="64"/>
      <c r="O219" s="86"/>
      <c r="T219" s="86"/>
    </row>
    <row r="220" spans="2:24">
      <c r="J220" s="53"/>
      <c r="K220" s="64"/>
      <c r="M220" s="64"/>
      <c r="N220" s="64"/>
      <c r="O220" s="86"/>
      <c r="T220" s="86"/>
    </row>
    <row r="221" spans="2:24">
      <c r="J221" s="53"/>
      <c r="K221" s="64"/>
      <c r="M221" s="64"/>
      <c r="N221" s="64"/>
      <c r="O221" s="86"/>
      <c r="T221" s="86"/>
    </row>
    <row r="222" spans="2:24">
      <c r="J222" s="53"/>
      <c r="K222" s="64"/>
      <c r="M222" s="64"/>
      <c r="N222" s="64"/>
      <c r="O222" s="86"/>
      <c r="T222" s="86"/>
    </row>
    <row r="223" spans="2:24">
      <c r="J223" s="53"/>
      <c r="K223" s="64"/>
      <c r="M223" s="64"/>
      <c r="N223" s="64"/>
      <c r="O223" s="86"/>
      <c r="T223" s="86"/>
    </row>
    <row r="224" spans="2:24">
      <c r="J224" s="53"/>
      <c r="K224" s="64"/>
      <c r="M224" s="64"/>
      <c r="N224" s="64"/>
      <c r="O224" s="86"/>
      <c r="T224" s="86"/>
    </row>
    <row r="225" spans="10:20">
      <c r="J225" s="53"/>
      <c r="K225" s="64"/>
      <c r="M225" s="64"/>
      <c r="N225" s="64"/>
      <c r="O225" s="86"/>
      <c r="T225" s="86"/>
    </row>
    <row r="226" spans="10:20">
      <c r="J226" s="53"/>
      <c r="K226" s="64"/>
      <c r="M226" s="64"/>
      <c r="N226" s="64"/>
      <c r="O226" s="86"/>
      <c r="T226" s="86"/>
    </row>
    <row r="227" spans="10:20">
      <c r="J227" s="53"/>
      <c r="K227" s="64"/>
      <c r="M227" s="64"/>
      <c r="N227" s="64"/>
      <c r="O227" s="86"/>
      <c r="T227" s="86"/>
    </row>
    <row r="228" spans="10:20">
      <c r="J228" s="53"/>
      <c r="K228" s="64"/>
      <c r="M228" s="64"/>
      <c r="N228" s="64"/>
      <c r="O228" s="86"/>
      <c r="T228" s="86"/>
    </row>
    <row r="229" spans="10:20">
      <c r="J229" s="53"/>
      <c r="K229" s="64"/>
      <c r="M229" s="64"/>
      <c r="N229" s="64"/>
      <c r="O229" s="86"/>
      <c r="T229" s="86"/>
    </row>
    <row r="230" spans="10:20">
      <c r="J230" s="53"/>
    </row>
  </sheetData>
  <autoFilter ref="B4:X215"/>
  <conditionalFormatting sqref="L204:L215 L79 L81 L7 L13:L15 L11 L5 L33 L48 L52:L54 L65 L67 L62 L72 L77 L75 L86:L93 L38:L40">
    <cfRule type="cellIs" dxfId="371" priority="177" operator="equal">
      <formula>"NO"</formula>
    </cfRule>
    <cfRule type="cellIs" dxfId="370" priority="178" operator="equal">
      <formula>"SI"</formula>
    </cfRule>
  </conditionalFormatting>
  <conditionalFormatting sqref="L94:L104">
    <cfRule type="cellIs" dxfId="369" priority="157" operator="equal">
      <formula>"NO"</formula>
    </cfRule>
    <cfRule type="cellIs" dxfId="368" priority="158" operator="equal">
      <formula>"SI"</formula>
    </cfRule>
  </conditionalFormatting>
  <conditionalFormatting sqref="L193:L203">
    <cfRule type="cellIs" dxfId="367" priority="175" operator="equal">
      <formula>"NO"</formula>
    </cfRule>
    <cfRule type="cellIs" dxfId="366" priority="176" operator="equal">
      <formula>"SI"</formula>
    </cfRule>
  </conditionalFormatting>
  <conditionalFormatting sqref="L182:L192">
    <cfRule type="cellIs" dxfId="365" priority="173" operator="equal">
      <formula>"NO"</formula>
    </cfRule>
    <cfRule type="cellIs" dxfId="364" priority="174" operator="equal">
      <formula>"SI"</formula>
    </cfRule>
  </conditionalFormatting>
  <conditionalFormatting sqref="L171:L181">
    <cfRule type="cellIs" dxfId="363" priority="171" operator="equal">
      <formula>"NO"</formula>
    </cfRule>
    <cfRule type="cellIs" dxfId="362" priority="172" operator="equal">
      <formula>"SI"</formula>
    </cfRule>
  </conditionalFormatting>
  <conditionalFormatting sqref="L160:L170">
    <cfRule type="cellIs" dxfId="361" priority="169" operator="equal">
      <formula>"NO"</formula>
    </cfRule>
    <cfRule type="cellIs" dxfId="360" priority="170" operator="equal">
      <formula>"SI"</formula>
    </cfRule>
  </conditionalFormatting>
  <conditionalFormatting sqref="L149:L159">
    <cfRule type="cellIs" dxfId="359" priority="167" operator="equal">
      <formula>"NO"</formula>
    </cfRule>
    <cfRule type="cellIs" dxfId="358" priority="168" operator="equal">
      <formula>"SI"</formula>
    </cfRule>
  </conditionalFormatting>
  <conditionalFormatting sqref="L138:L148">
    <cfRule type="cellIs" dxfId="357" priority="165" operator="equal">
      <formula>"NO"</formula>
    </cfRule>
    <cfRule type="cellIs" dxfId="356" priority="166" operator="equal">
      <formula>"SI"</formula>
    </cfRule>
  </conditionalFormatting>
  <conditionalFormatting sqref="L127:L137">
    <cfRule type="cellIs" dxfId="355" priority="163" operator="equal">
      <formula>"NO"</formula>
    </cfRule>
    <cfRule type="cellIs" dxfId="354" priority="164" operator="equal">
      <formula>"SI"</formula>
    </cfRule>
  </conditionalFormatting>
  <conditionalFormatting sqref="L116:L126">
    <cfRule type="cellIs" dxfId="353" priority="161" operator="equal">
      <formula>"NO"</formula>
    </cfRule>
    <cfRule type="cellIs" dxfId="352" priority="162" operator="equal">
      <formula>"SI"</formula>
    </cfRule>
  </conditionalFormatting>
  <conditionalFormatting sqref="L105:L115">
    <cfRule type="cellIs" dxfId="351" priority="159" operator="equal">
      <formula>"NO"</formula>
    </cfRule>
    <cfRule type="cellIs" dxfId="350" priority="160" operator="equal">
      <formula>"SI"</formula>
    </cfRule>
  </conditionalFormatting>
  <conditionalFormatting sqref="L16">
    <cfRule type="cellIs" dxfId="349" priority="155" operator="equal">
      <formula>"NO"</formula>
    </cfRule>
    <cfRule type="cellIs" dxfId="348" priority="156" operator="equal">
      <formula>"SI"</formula>
    </cfRule>
  </conditionalFormatting>
  <conditionalFormatting sqref="L9">
    <cfRule type="cellIs" dxfId="347" priority="153" operator="equal">
      <formula>"NO"</formula>
    </cfRule>
    <cfRule type="cellIs" dxfId="346" priority="154" operator="equal">
      <formula>"SI"</formula>
    </cfRule>
  </conditionalFormatting>
  <conditionalFormatting sqref="L21">
    <cfRule type="cellIs" dxfId="345" priority="151" operator="equal">
      <formula>"NO"</formula>
    </cfRule>
    <cfRule type="cellIs" dxfId="344" priority="152" operator="equal">
      <formula>"SI"</formula>
    </cfRule>
  </conditionalFormatting>
  <conditionalFormatting sqref="L12">
    <cfRule type="cellIs" dxfId="343" priority="149" operator="equal">
      <formula>"NO"</formula>
    </cfRule>
    <cfRule type="cellIs" dxfId="342" priority="150" operator="equal">
      <formula>"SI"</formula>
    </cfRule>
  </conditionalFormatting>
  <conditionalFormatting sqref="L17">
    <cfRule type="cellIs" dxfId="341" priority="147" operator="equal">
      <formula>"NO"</formula>
    </cfRule>
    <cfRule type="cellIs" dxfId="340" priority="148" operator="equal">
      <formula>"SI"</formula>
    </cfRule>
  </conditionalFormatting>
  <conditionalFormatting sqref="L8">
    <cfRule type="cellIs" dxfId="339" priority="145" operator="equal">
      <formula>"NO"</formula>
    </cfRule>
    <cfRule type="cellIs" dxfId="338" priority="146" operator="equal">
      <formula>"SI"</formula>
    </cfRule>
  </conditionalFormatting>
  <conditionalFormatting sqref="L58">
    <cfRule type="cellIs" dxfId="337" priority="143" operator="equal">
      <formula>"NO"</formula>
    </cfRule>
    <cfRule type="cellIs" dxfId="336" priority="144" operator="equal">
      <formula>"SI"</formula>
    </cfRule>
  </conditionalFormatting>
  <conditionalFormatting sqref="L43">
    <cfRule type="cellIs" dxfId="335" priority="141" operator="equal">
      <formula>"NO"</formula>
    </cfRule>
    <cfRule type="cellIs" dxfId="334" priority="142" operator="equal">
      <formula>"SI"</formula>
    </cfRule>
  </conditionalFormatting>
  <conditionalFormatting sqref="L22">
    <cfRule type="cellIs" dxfId="333" priority="133" operator="equal">
      <formula>"NO"</formula>
    </cfRule>
    <cfRule type="cellIs" dxfId="332" priority="134" operator="equal">
      <formula>"SI"</formula>
    </cfRule>
  </conditionalFormatting>
  <conditionalFormatting sqref="L85">
    <cfRule type="cellIs" dxfId="331" priority="135" operator="equal">
      <formula>"NO"</formula>
    </cfRule>
    <cfRule type="cellIs" dxfId="330" priority="136" operator="equal">
      <formula>"SI"</formula>
    </cfRule>
  </conditionalFormatting>
  <conditionalFormatting sqref="L32">
    <cfRule type="cellIs" dxfId="329" priority="139" operator="equal">
      <formula>"NO"</formula>
    </cfRule>
    <cfRule type="cellIs" dxfId="328" priority="140" operator="equal">
      <formula>"SI"</formula>
    </cfRule>
  </conditionalFormatting>
  <conditionalFormatting sqref="L10">
    <cfRule type="cellIs" dxfId="327" priority="137" operator="equal">
      <formula>"NO"</formula>
    </cfRule>
    <cfRule type="cellIs" dxfId="326" priority="138" operator="equal">
      <formula>"SI"</formula>
    </cfRule>
  </conditionalFormatting>
  <conditionalFormatting sqref="L71">
    <cfRule type="cellIs" dxfId="325" priority="131" operator="equal">
      <formula>"NO"</formula>
    </cfRule>
    <cfRule type="cellIs" dxfId="324" priority="132" operator="equal">
      <formula>"SI"</formula>
    </cfRule>
  </conditionalFormatting>
  <conditionalFormatting sqref="L63">
    <cfRule type="cellIs" dxfId="323" priority="129" operator="equal">
      <formula>"NO"</formula>
    </cfRule>
    <cfRule type="cellIs" dxfId="322" priority="130" operator="equal">
      <formula>"SI"</formula>
    </cfRule>
  </conditionalFormatting>
  <conditionalFormatting sqref="L50">
    <cfRule type="cellIs" dxfId="321" priority="127" operator="equal">
      <formula>"NO"</formula>
    </cfRule>
    <cfRule type="cellIs" dxfId="320" priority="128" operator="equal">
      <formula>"SI"</formula>
    </cfRule>
  </conditionalFormatting>
  <conditionalFormatting sqref="N13 N5 N33 N79 N81 N39:N40 N48 N65 N53:N54 N67 N62 N72 N77 N75">
    <cfRule type="cellIs" dxfId="319" priority="126" operator="equal">
      <formula>"0/01/1900"</formula>
    </cfRule>
  </conditionalFormatting>
  <conditionalFormatting sqref="L6">
    <cfRule type="cellIs" dxfId="318" priority="124" operator="equal">
      <formula>"NO"</formula>
    </cfRule>
    <cfRule type="cellIs" dxfId="317" priority="125" operator="equal">
      <formula>"SI"</formula>
    </cfRule>
  </conditionalFormatting>
  <conditionalFormatting sqref="N6">
    <cfRule type="cellIs" dxfId="316" priority="123" operator="equal">
      <formula>"0/01/1900"</formula>
    </cfRule>
  </conditionalFormatting>
  <conditionalFormatting sqref="L29">
    <cfRule type="cellIs" dxfId="315" priority="121" operator="equal">
      <formula>"NO"</formula>
    </cfRule>
    <cfRule type="cellIs" dxfId="314" priority="122" operator="equal">
      <formula>"SI"</formula>
    </cfRule>
  </conditionalFormatting>
  <conditionalFormatting sqref="N29">
    <cfRule type="cellIs" dxfId="313" priority="120" operator="equal">
      <formula>"0/01/1900"</formula>
    </cfRule>
  </conditionalFormatting>
  <conditionalFormatting sqref="L18">
    <cfRule type="cellIs" dxfId="312" priority="118" operator="equal">
      <formula>"NO"</formula>
    </cfRule>
    <cfRule type="cellIs" dxfId="311" priority="119" operator="equal">
      <formula>"SI"</formula>
    </cfRule>
  </conditionalFormatting>
  <conditionalFormatting sqref="L23">
    <cfRule type="cellIs" dxfId="310" priority="116" operator="equal">
      <formula>"NO"</formula>
    </cfRule>
    <cfRule type="cellIs" dxfId="309" priority="117" operator="equal">
      <formula>"SI"</formula>
    </cfRule>
  </conditionalFormatting>
  <conditionalFormatting sqref="L31">
    <cfRule type="cellIs" dxfId="308" priority="114" operator="equal">
      <formula>"NO"</formula>
    </cfRule>
    <cfRule type="cellIs" dxfId="307" priority="115" operator="equal">
      <formula>"SI"</formula>
    </cfRule>
  </conditionalFormatting>
  <conditionalFormatting sqref="L42">
    <cfRule type="cellIs" dxfId="306" priority="112" operator="equal">
      <formula>"NO"</formula>
    </cfRule>
    <cfRule type="cellIs" dxfId="305" priority="113" operator="equal">
      <formula>"SI"</formula>
    </cfRule>
  </conditionalFormatting>
  <conditionalFormatting sqref="L46">
    <cfRule type="cellIs" dxfId="304" priority="110" operator="equal">
      <formula>"NO"</formula>
    </cfRule>
    <cfRule type="cellIs" dxfId="303" priority="111" operator="equal">
      <formula>"SI"</formula>
    </cfRule>
  </conditionalFormatting>
  <conditionalFormatting sqref="L30">
    <cfRule type="cellIs" dxfId="302" priority="108" operator="equal">
      <formula>"NO"</formula>
    </cfRule>
    <cfRule type="cellIs" dxfId="301" priority="109" operator="equal">
      <formula>"SI"</formula>
    </cfRule>
  </conditionalFormatting>
  <conditionalFormatting sqref="L25">
    <cfRule type="cellIs" dxfId="300" priority="106" operator="equal">
      <formula>"NO"</formula>
    </cfRule>
    <cfRule type="cellIs" dxfId="299" priority="107" operator="equal">
      <formula>"SI"</formula>
    </cfRule>
  </conditionalFormatting>
  <conditionalFormatting sqref="L44">
    <cfRule type="cellIs" dxfId="298" priority="104" operator="equal">
      <formula>"NO"</formula>
    </cfRule>
    <cfRule type="cellIs" dxfId="297" priority="105" operator="equal">
      <formula>"SI"</formula>
    </cfRule>
  </conditionalFormatting>
  <conditionalFormatting sqref="N5:N18 N46 N65 N75 N71:N72 N85:N215 N21:N23 N38:N40 N42:N44 N48 N50 N58 N62:N63 N29:N33 N67 N25 N52:N54 N81 N77 N79">
    <cfRule type="cellIs" dxfId="296" priority="103" operator="equal">
      <formula>0</formula>
    </cfRule>
  </conditionalFormatting>
  <conditionalFormatting sqref="L69">
    <cfRule type="cellIs" dxfId="295" priority="101" operator="equal">
      <formula>"NO"</formula>
    </cfRule>
    <cfRule type="cellIs" dxfId="294" priority="102" operator="equal">
      <formula>"SI"</formula>
    </cfRule>
  </conditionalFormatting>
  <conditionalFormatting sqref="N69">
    <cfRule type="cellIs" dxfId="293" priority="100" operator="equal">
      <formula>0</formula>
    </cfRule>
  </conditionalFormatting>
  <conditionalFormatting sqref="L73">
    <cfRule type="cellIs" dxfId="292" priority="98" operator="equal">
      <formula>"NO"</formula>
    </cfRule>
    <cfRule type="cellIs" dxfId="291" priority="99" operator="equal">
      <formula>"SI"</formula>
    </cfRule>
  </conditionalFormatting>
  <conditionalFormatting sqref="N73">
    <cfRule type="cellIs" dxfId="290" priority="97" operator="equal">
      <formula>0</formula>
    </cfRule>
  </conditionalFormatting>
  <conditionalFormatting sqref="L74">
    <cfRule type="cellIs" dxfId="289" priority="95" operator="equal">
      <formula>"NO"</formula>
    </cfRule>
    <cfRule type="cellIs" dxfId="288" priority="96" operator="equal">
      <formula>"SI"</formula>
    </cfRule>
  </conditionalFormatting>
  <conditionalFormatting sqref="N74">
    <cfRule type="cellIs" dxfId="287" priority="94" operator="equal">
      <formula>0</formula>
    </cfRule>
  </conditionalFormatting>
  <conditionalFormatting sqref="L82">
    <cfRule type="cellIs" dxfId="286" priority="92" operator="equal">
      <formula>"NO"</formula>
    </cfRule>
    <cfRule type="cellIs" dxfId="285" priority="93" operator="equal">
      <formula>"SI"</formula>
    </cfRule>
  </conditionalFormatting>
  <conditionalFormatting sqref="N82">
    <cfRule type="cellIs" dxfId="284" priority="91" operator="equal">
      <formula>0</formula>
    </cfRule>
  </conditionalFormatting>
  <conditionalFormatting sqref="L55">
    <cfRule type="cellIs" dxfId="283" priority="89" operator="equal">
      <formula>"NO"</formula>
    </cfRule>
    <cfRule type="cellIs" dxfId="282" priority="90" operator="equal">
      <formula>"SI"</formula>
    </cfRule>
  </conditionalFormatting>
  <conditionalFormatting sqref="N55">
    <cfRule type="cellIs" dxfId="281" priority="88" operator="equal">
      <formula>0</formula>
    </cfRule>
  </conditionalFormatting>
  <conditionalFormatting sqref="L64">
    <cfRule type="cellIs" dxfId="280" priority="86" operator="equal">
      <formula>"NO"</formula>
    </cfRule>
    <cfRule type="cellIs" dxfId="279" priority="87" operator="equal">
      <formula>"SI"</formula>
    </cfRule>
  </conditionalFormatting>
  <conditionalFormatting sqref="N64">
    <cfRule type="cellIs" dxfId="278" priority="85" operator="equal">
      <formula>0</formula>
    </cfRule>
  </conditionalFormatting>
  <conditionalFormatting sqref="L45">
    <cfRule type="cellIs" dxfId="277" priority="83" operator="equal">
      <formula>"NO"</formula>
    </cfRule>
    <cfRule type="cellIs" dxfId="276" priority="84" operator="equal">
      <formula>"SI"</formula>
    </cfRule>
  </conditionalFormatting>
  <conditionalFormatting sqref="N45">
    <cfRule type="cellIs" dxfId="275" priority="82" operator="equal">
      <formula>0</formula>
    </cfRule>
  </conditionalFormatting>
  <conditionalFormatting sqref="L35">
    <cfRule type="cellIs" dxfId="274" priority="80" operator="equal">
      <formula>"NO"</formula>
    </cfRule>
    <cfRule type="cellIs" dxfId="273" priority="81" operator="equal">
      <formula>"SI"</formula>
    </cfRule>
  </conditionalFormatting>
  <conditionalFormatting sqref="N35">
    <cfRule type="cellIs" dxfId="272" priority="79" operator="equal">
      <formula>0</formula>
    </cfRule>
  </conditionalFormatting>
  <conditionalFormatting sqref="L19">
    <cfRule type="cellIs" dxfId="271" priority="77" operator="equal">
      <formula>"NO"</formula>
    </cfRule>
    <cfRule type="cellIs" dxfId="270" priority="78" operator="equal">
      <formula>"SI"</formula>
    </cfRule>
  </conditionalFormatting>
  <conditionalFormatting sqref="N19">
    <cfRule type="cellIs" dxfId="269" priority="76" operator="equal">
      <formula>0</formula>
    </cfRule>
  </conditionalFormatting>
  <conditionalFormatting sqref="L20">
    <cfRule type="cellIs" dxfId="268" priority="74" operator="equal">
      <formula>"NO"</formula>
    </cfRule>
    <cfRule type="cellIs" dxfId="267" priority="75" operator="equal">
      <formula>"SI"</formula>
    </cfRule>
  </conditionalFormatting>
  <conditionalFormatting sqref="N20">
    <cfRule type="cellIs" dxfId="266" priority="73" operator="equal">
      <formula>0</formula>
    </cfRule>
  </conditionalFormatting>
  <conditionalFormatting sqref="L37">
    <cfRule type="cellIs" dxfId="265" priority="71" operator="equal">
      <formula>"NO"</formula>
    </cfRule>
    <cfRule type="cellIs" dxfId="264" priority="72" operator="equal">
      <formula>"SI"</formula>
    </cfRule>
  </conditionalFormatting>
  <conditionalFormatting sqref="N37">
    <cfRule type="cellIs" dxfId="263" priority="70" operator="equal">
      <formula>0</formula>
    </cfRule>
  </conditionalFormatting>
  <conditionalFormatting sqref="L41">
    <cfRule type="cellIs" dxfId="262" priority="68" operator="equal">
      <formula>"NO"</formula>
    </cfRule>
    <cfRule type="cellIs" dxfId="261" priority="69" operator="equal">
      <formula>"SI"</formula>
    </cfRule>
  </conditionalFormatting>
  <conditionalFormatting sqref="N41">
    <cfRule type="cellIs" dxfId="260" priority="67" operator="equal">
      <formula>0</formula>
    </cfRule>
  </conditionalFormatting>
  <conditionalFormatting sqref="L47">
    <cfRule type="cellIs" dxfId="259" priority="65" operator="equal">
      <formula>"NO"</formula>
    </cfRule>
    <cfRule type="cellIs" dxfId="258" priority="66" operator="equal">
      <formula>"SI"</formula>
    </cfRule>
  </conditionalFormatting>
  <conditionalFormatting sqref="N47">
    <cfRule type="cellIs" dxfId="257" priority="64" operator="equal">
      <formula>0</formula>
    </cfRule>
  </conditionalFormatting>
  <conditionalFormatting sqref="L49">
    <cfRule type="cellIs" dxfId="256" priority="62" operator="equal">
      <formula>"NO"</formula>
    </cfRule>
    <cfRule type="cellIs" dxfId="255" priority="63" operator="equal">
      <formula>"SI"</formula>
    </cfRule>
  </conditionalFormatting>
  <conditionalFormatting sqref="N49">
    <cfRule type="cellIs" dxfId="254" priority="61" operator="equal">
      <formula>0</formula>
    </cfRule>
  </conditionalFormatting>
  <conditionalFormatting sqref="L57">
    <cfRule type="cellIs" dxfId="253" priority="59" operator="equal">
      <formula>"NO"</formula>
    </cfRule>
    <cfRule type="cellIs" dxfId="252" priority="60" operator="equal">
      <formula>"SI"</formula>
    </cfRule>
  </conditionalFormatting>
  <conditionalFormatting sqref="N57">
    <cfRule type="cellIs" dxfId="251" priority="58" operator="equal">
      <formula>0</formula>
    </cfRule>
  </conditionalFormatting>
  <conditionalFormatting sqref="L59">
    <cfRule type="cellIs" dxfId="250" priority="56" operator="equal">
      <formula>"NO"</formula>
    </cfRule>
    <cfRule type="cellIs" dxfId="249" priority="57" operator="equal">
      <formula>"SI"</formula>
    </cfRule>
  </conditionalFormatting>
  <conditionalFormatting sqref="N59">
    <cfRule type="cellIs" dxfId="248" priority="55" operator="equal">
      <formula>0</formula>
    </cfRule>
  </conditionalFormatting>
  <conditionalFormatting sqref="L60">
    <cfRule type="cellIs" dxfId="247" priority="53" operator="equal">
      <formula>"NO"</formula>
    </cfRule>
    <cfRule type="cellIs" dxfId="246" priority="54" operator="equal">
      <formula>"SI"</formula>
    </cfRule>
  </conditionalFormatting>
  <conditionalFormatting sqref="N60">
    <cfRule type="cellIs" dxfId="245" priority="52" operator="equal">
      <formula>0</formula>
    </cfRule>
  </conditionalFormatting>
  <conditionalFormatting sqref="L61">
    <cfRule type="cellIs" dxfId="244" priority="50" operator="equal">
      <formula>"NO"</formula>
    </cfRule>
    <cfRule type="cellIs" dxfId="243" priority="51" operator="equal">
      <formula>"SI"</formula>
    </cfRule>
  </conditionalFormatting>
  <conditionalFormatting sqref="N61">
    <cfRule type="cellIs" dxfId="242" priority="49" operator="equal">
      <formula>0</formula>
    </cfRule>
  </conditionalFormatting>
  <conditionalFormatting sqref="L83">
    <cfRule type="cellIs" dxfId="241" priority="47" operator="equal">
      <formula>"NO"</formula>
    </cfRule>
    <cfRule type="cellIs" dxfId="240" priority="48" operator="equal">
      <formula>"SI"</formula>
    </cfRule>
  </conditionalFormatting>
  <conditionalFormatting sqref="N83">
    <cfRule type="cellIs" dxfId="239" priority="46" operator="equal">
      <formula>0</formula>
    </cfRule>
  </conditionalFormatting>
  <conditionalFormatting sqref="L26">
    <cfRule type="cellIs" dxfId="238" priority="44" operator="equal">
      <formula>"NO"</formula>
    </cfRule>
    <cfRule type="cellIs" dxfId="237" priority="45" operator="equal">
      <formula>"SI"</formula>
    </cfRule>
  </conditionalFormatting>
  <conditionalFormatting sqref="N26">
    <cfRule type="cellIs" dxfId="236" priority="43" operator="equal">
      <formula>0</formula>
    </cfRule>
  </conditionalFormatting>
  <conditionalFormatting sqref="L66">
    <cfRule type="cellIs" dxfId="235" priority="41" operator="equal">
      <formula>"NO"</formula>
    </cfRule>
    <cfRule type="cellIs" dxfId="234" priority="42" operator="equal">
      <formula>"SI"</formula>
    </cfRule>
  </conditionalFormatting>
  <conditionalFormatting sqref="N66">
    <cfRule type="cellIs" dxfId="233" priority="40" operator="equal">
      <formula>0</formula>
    </cfRule>
  </conditionalFormatting>
  <conditionalFormatting sqref="L68">
    <cfRule type="cellIs" dxfId="232" priority="38" operator="equal">
      <formula>"NO"</formula>
    </cfRule>
    <cfRule type="cellIs" dxfId="231" priority="39" operator="equal">
      <formula>"SI"</formula>
    </cfRule>
  </conditionalFormatting>
  <conditionalFormatting sqref="N68">
    <cfRule type="cellIs" dxfId="230" priority="37" operator="equal">
      <formula>0</formula>
    </cfRule>
  </conditionalFormatting>
  <conditionalFormatting sqref="L24">
    <cfRule type="cellIs" dxfId="229" priority="35" operator="equal">
      <formula>"NO"</formula>
    </cfRule>
    <cfRule type="cellIs" dxfId="228" priority="36" operator="equal">
      <formula>"SI"</formula>
    </cfRule>
  </conditionalFormatting>
  <conditionalFormatting sqref="N24">
    <cfRule type="cellIs" dxfId="227" priority="34" operator="equal">
      <formula>0</formula>
    </cfRule>
  </conditionalFormatting>
  <conditionalFormatting sqref="L34">
    <cfRule type="cellIs" dxfId="226" priority="32" operator="equal">
      <formula>"NO"</formula>
    </cfRule>
    <cfRule type="cellIs" dxfId="225" priority="33" operator="equal">
      <formula>"SI"</formula>
    </cfRule>
  </conditionalFormatting>
  <conditionalFormatting sqref="N34">
    <cfRule type="cellIs" dxfId="224" priority="31" operator="equal">
      <formula>0</formula>
    </cfRule>
  </conditionalFormatting>
  <conditionalFormatting sqref="L51">
    <cfRule type="cellIs" dxfId="223" priority="29" operator="equal">
      <formula>"NO"</formula>
    </cfRule>
    <cfRule type="cellIs" dxfId="222" priority="30" operator="equal">
      <formula>"SI"</formula>
    </cfRule>
  </conditionalFormatting>
  <conditionalFormatting sqref="N51">
    <cfRule type="cellIs" dxfId="221" priority="28" operator="equal">
      <formula>0</formula>
    </cfRule>
  </conditionalFormatting>
  <conditionalFormatting sqref="L80">
    <cfRule type="cellIs" dxfId="220" priority="26" operator="equal">
      <formula>"NO"</formula>
    </cfRule>
    <cfRule type="cellIs" dxfId="219" priority="27" operator="equal">
      <formula>"SI"</formula>
    </cfRule>
  </conditionalFormatting>
  <conditionalFormatting sqref="N80">
    <cfRule type="cellIs" dxfId="218" priority="25" operator="equal">
      <formula>0</formula>
    </cfRule>
  </conditionalFormatting>
  <conditionalFormatting sqref="L27">
    <cfRule type="cellIs" dxfId="217" priority="23" operator="equal">
      <formula>"NO"</formula>
    </cfRule>
    <cfRule type="cellIs" dxfId="216" priority="24" operator="equal">
      <formula>"SI"</formula>
    </cfRule>
  </conditionalFormatting>
  <conditionalFormatting sqref="N27">
    <cfRule type="cellIs" dxfId="215" priority="22" operator="equal">
      <formula>0</formula>
    </cfRule>
  </conditionalFormatting>
  <conditionalFormatting sqref="L28">
    <cfRule type="cellIs" dxfId="214" priority="20" operator="equal">
      <formula>"NO"</formula>
    </cfRule>
    <cfRule type="cellIs" dxfId="213" priority="21" operator="equal">
      <formula>"SI"</formula>
    </cfRule>
  </conditionalFormatting>
  <conditionalFormatting sqref="N28">
    <cfRule type="cellIs" dxfId="212" priority="19" operator="equal">
      <formula>0</formula>
    </cfRule>
  </conditionalFormatting>
  <conditionalFormatting sqref="L36">
    <cfRule type="cellIs" dxfId="211" priority="17" operator="equal">
      <formula>"NO"</formula>
    </cfRule>
    <cfRule type="cellIs" dxfId="210" priority="18" operator="equal">
      <formula>"SI"</formula>
    </cfRule>
  </conditionalFormatting>
  <conditionalFormatting sqref="N36">
    <cfRule type="cellIs" dxfId="209" priority="16" operator="equal">
      <formula>0</formula>
    </cfRule>
  </conditionalFormatting>
  <conditionalFormatting sqref="L56">
    <cfRule type="cellIs" dxfId="208" priority="14" operator="equal">
      <formula>"NO"</formula>
    </cfRule>
    <cfRule type="cellIs" dxfId="207" priority="15" operator="equal">
      <formula>"SI"</formula>
    </cfRule>
  </conditionalFormatting>
  <conditionalFormatting sqref="N56">
    <cfRule type="cellIs" dxfId="206" priority="13" operator="equal">
      <formula>0</formula>
    </cfRule>
  </conditionalFormatting>
  <conditionalFormatting sqref="L70">
    <cfRule type="cellIs" dxfId="205" priority="11" operator="equal">
      <formula>"NO"</formula>
    </cfRule>
    <cfRule type="cellIs" dxfId="204" priority="12" operator="equal">
      <formula>"SI"</formula>
    </cfRule>
  </conditionalFormatting>
  <conditionalFormatting sqref="N70">
    <cfRule type="cellIs" dxfId="203" priority="10" operator="equal">
      <formula>0</formula>
    </cfRule>
  </conditionalFormatting>
  <conditionalFormatting sqref="L76">
    <cfRule type="cellIs" dxfId="202" priority="8" operator="equal">
      <formula>"NO"</formula>
    </cfRule>
    <cfRule type="cellIs" dxfId="201" priority="9" operator="equal">
      <formula>"SI"</formula>
    </cfRule>
  </conditionalFormatting>
  <conditionalFormatting sqref="N76">
    <cfRule type="cellIs" dxfId="200" priority="7" operator="equal">
      <formula>0</formula>
    </cfRule>
  </conditionalFormatting>
  <conditionalFormatting sqref="L84">
    <cfRule type="cellIs" dxfId="199" priority="5" operator="equal">
      <formula>"NO"</formula>
    </cfRule>
    <cfRule type="cellIs" dxfId="198" priority="6" operator="equal">
      <formula>"SI"</formula>
    </cfRule>
  </conditionalFormatting>
  <conditionalFormatting sqref="N84">
    <cfRule type="cellIs" dxfId="197" priority="4" operator="equal">
      <formula>0</formula>
    </cfRule>
  </conditionalFormatting>
  <conditionalFormatting sqref="L78">
    <cfRule type="cellIs" dxfId="196" priority="2" operator="equal">
      <formula>"NO"</formula>
    </cfRule>
    <cfRule type="cellIs" dxfId="195" priority="3" operator="equal">
      <formula>"SI"</formula>
    </cfRule>
  </conditionalFormatting>
  <conditionalFormatting sqref="N78">
    <cfRule type="cellIs" dxfId="194" priority="1" operator="equal">
      <formula>0</formula>
    </cfRule>
  </conditionalFormatting>
  <dataValidations count="1">
    <dataValidation type="list" allowBlank="1" showInputMessage="1" showErrorMessage="1" sqref="B5:B215">
      <formula1>"2019,2020,2021,2022,2023"</formula1>
    </dataValidation>
  </dataValidations>
  <hyperlinks>
    <hyperlink ref="I13" r:id="rId1" display="PROCESO GESTIÓN FINANCIERA\INFORME GESTIÓN FINANCIERA 2019 - 11122019.pdf"/>
    <hyperlink ref="I5" r:id="rId2" display="PROCESO GESTIÓN FINANCIERA\INFORME CAJAS MENORES 2019 - 20022019.pdf"/>
    <hyperlink ref="I33" r:id="rId3" display="PROCESO GESTIÓN FINANCIERA\INFORME GESTIÓN FINANCIERA 2020 - 22122020.pdf"/>
    <hyperlink ref="I39" r:id="rId4" display="PROCESO GESTIÓN FINANCIERA\INFORME CUADRE DE CAJA 2021-1 - 11062021.pdf"/>
    <hyperlink ref="I48" r:id="rId5" display="PROCESO GESTIÓN FINANCIERA\INFORME CUADRE DE CAJA 2021-2 - 29102021.pdf"/>
    <hyperlink ref="I40" r:id="rId6" display="PROCESO GESTIÓN FINANCIERA\INFORME FACTURACIÓN, CARTERA, GLOSAS 2021 - 30062021.pdf"/>
    <hyperlink ref="I54" r:id="rId7" display="PROCESO GESTIÓN FINANCIERA\INFORME CUADRE DE CAJA 2022-1 - 25012022.pdf"/>
    <hyperlink ref="I65" r:id="rId8" display="PROCESO GESTIÓN FINANCIERA\INFORME CUADRE DE CAJA 2022-2 - 03112022.pdf"/>
    <hyperlink ref="I62" r:id="rId9" display="PROCESO GESTIÓN FINANCIERA\INFORME CAJAS MENORES 2022- 20092022.pdf"/>
    <hyperlink ref="I67" r:id="rId10" display="PROCESO GESTIÓN FINANCIERA\INFORME CUADRE DE CAJA 2023-1 - 27022023.pdf"/>
    <hyperlink ref="I77" r:id="rId11" display="PROCESO GESTIÓN FINANCIERA\INFORME CUADRE DE CAJA 2023-2 - 19072023.pdf"/>
    <hyperlink ref="I75" r:id="rId12" display="PROCESO GESTIÓN FINANCIERA\INFORME CAJAS MENORES 2023 - 12072023.pdf"/>
    <hyperlink ref="I79" r:id="rId13" display="PROCESO GESTIÓN FINANCIERA\INFORME FACTURACIÓN, CARTERA, GLOSAS 2023 - 29082023.pdf"/>
    <hyperlink ref="I53" r:id="rId14" display="PROCESO GESTIÓN FINANCIERA\INFORME GESTIÓN FINANCIERA 2021 - 09022022.pdf"/>
    <hyperlink ref="I7" r:id="rId15" display="PROCESO GESTIÓN VENTA DE SERVICIOS\INFORME GESTIÓN VENTA DE SERVICIOS 2019 - 05082019.pdf"/>
    <hyperlink ref="I27" r:id="rId16" display="PROCESO GESTIÓN VENTA DE SERVICIOS\INFORME GESTIÓN VENTA DE SERVICIOS 2020 - 20102020.pdf"/>
    <hyperlink ref="I70" r:id="rId17" display="PROCESO GESTIÓN VENTA DE SERVICIOS\INFORME GESTIÓN VENTA DE SERVICIOS 2023 - 28032023.pdf"/>
    <hyperlink ref="I15" r:id="rId18" display="PROCESO GESTIÓN DOCUMENTAL\INFORME GESTIÓN DOCUMENTAL 2019 - 12122019.pdf"/>
    <hyperlink ref="I11" r:id="rId19" display="PROCESO GESTIÓN JURÍDICA\INFORME GESTIÓN JURÍDICA 2019 - 22112019.pdf"/>
    <hyperlink ref="I6" r:id="rId20" display="PROCESO ATENCIÓN QUIRÚRGICA\INFORME ATENCION QUIRURGICA 2019 - 28052019 .pdf"/>
    <hyperlink ref="I8" r:id="rId21" display="PROCESO ATENCIÓN EN URGENCIAS\INFORME ATENCION EN URGENCIAS 2019 - 15082019.pdf"/>
    <hyperlink ref="I9" r:id="rId22" display="PROCESO ATENCIÓN EN HOSPITALIZACIÓN\INFORME ATENCIÓN EN HOSPITALIZACIÓN 2019 - 19092019.pdf"/>
    <hyperlink ref="I10" r:id="rId23" display="PROCESO GESTIÓN SERVICIO FARMACÉUTICO\INFORME GESTIÓN SERVICIO FARMACÉUTICO 2019 - 24102019.pdf"/>
    <hyperlink ref="I12" r:id="rId24" display="PROCESO ATENCIÓN EN LABORATORIO CLÍNICO\INFORME ATENCIÓN EN LABORATORIO CLÍNICO 2019 - 02122019.pdf"/>
    <hyperlink ref="I16" r:id="rId25" display="PROCESO ATENCIÓN AMBULATORIA\INFORME ATENCIÓN AMBULATORIA 2019 - 19122019.pdf"/>
    <hyperlink ref="I17" r:id="rId26" display="PROCESO ATENCIÓN EN P Y P\INFORME ATENCIÓN EN PROMOCIÓN Y PREVENCIÓN 2019 - 19122019.pdf"/>
    <hyperlink ref="I14" r:id="rId27" display="PROCESO GESTIÓN LOGÍSTICA\INFORME CONTROL DE INVENTARIO 2019 - 12122019.pdf"/>
    <hyperlink ref="I45" r:id="rId28" display="PROCESO GESTIÓN DOCUMENTAL\INFORME MANEJO DE ARCHIVO CLÍNICO 2021 - 17092021.pdf"/>
    <hyperlink ref="I19" r:id="rId29" display="PROCESO GESTIÓN LOGÍSTICA\INFORME CONTROL DE INVENTARIO DE BIENES 2020 - 20052020.pdf"/>
    <hyperlink ref="I18" r:id="rId30" display="PROCESO ATENCIÓN EN URGENCIAS\INFORME ATENCION EN URGENCIAS 2020 - 06042020.pdf"/>
    <hyperlink ref="I22" r:id="rId31" display="PROCESO GESTIÓN TALENTO HUMANO\INFORME PAGO DE NÓMINA CONDUCTORES AMBULANCIA 2020 - 27072020.pdf"/>
    <hyperlink ref="I21" r:id="rId32" display="PROCESO ATENCIÓN EN IMÁGENES DIAGNÓSTICAS\INFORME ATENCIÓN EN IMÁGENES DIAGNÓST 2020 - 16072020.pdf"/>
    <hyperlink ref="I23" r:id="rId33" display="PROCESO ATENCIÓN EN HOSPITALIZACIÓN\INFORME CONSENTIMIENTO INFORMADO 2020 - 07092020.pdf"/>
    <hyperlink ref="I30" r:id="rId34" display="PROCESO ATENCIÓN EN LABORATORIO CLÍNICO\INFORME ATENCIÓN EN LABORATORIO CLÍNICO 2020 - 06112020.pdf"/>
    <hyperlink ref="I25" r:id="rId35" display="PROCESO ATENCIÓN EN P Y P\INFORME ATENCIÓN EN PROMOCIÓN Y PREVENCIÓN 2020 - 24092020.pdf"/>
    <hyperlink ref="I26" r:id="rId36" display="PROCESO GESTIÓN SERVICIO FARMACÉUTICO\INFORME GESTIÓN SERVICIO FARMACÉUTICO 2020 - 20102020.pdf"/>
    <hyperlink ref="I29" r:id="rId37" display="PROCESO ATENCIÓN QUIRÚRGICA\INFORME ATENCION QUIRURGICA 2020 - 29102020.pdf"/>
    <hyperlink ref="I24" r:id="rId38" display="PROCESO GESTIÓN TALENTO HUMANO\INFORME GESTIÓN TALENTO HUMANO PROGRAMA DE VIVIENDA 2020 - 11092020.pdf"/>
    <hyperlink ref="I32" r:id="rId39" display="PROCESO GESTIÓN DOCENCIA SERVICIO\INFORME GESTIÓN DOCENCIA SERVICIO 2020 - 30112020.pdf"/>
    <hyperlink ref="I31" r:id="rId40" display="PROCESO ATENCIÓN EN HOSPITALIZACIÓN\INFORME ATENCIÓN EN HOSPITALIZACIÓN 2020 - 26112020.pdf"/>
    <hyperlink ref="I34" r:id="rId41" display="PROCESO GESTIÓN TALENTO HUMANO\INFORME GESTIÓN CUADRO DE TURNOS 2021 - 12032021.pdf"/>
    <hyperlink ref="I35" r:id="rId42" display="PROCESO GESTIÓN JURÍDICA\INFORME GESTION JURIDICA 2021 - 06042021.pdf"/>
    <hyperlink ref="I37" r:id="rId43" display="PROCESO GESTIÓN LOGÍSTICA\INFORME CONTROL DE INVENTARIO - LEGALIZACIÓN DONACIONES 2021 - 26052021.pdf"/>
    <hyperlink ref="I42" r:id="rId44" display="PROCESO ATENCIÓN EN HOSPITALIZACIÓN\INFORME ATENCIÓN EN HOSPITALIZACIÓN 2021 - 12082021.pdf"/>
    <hyperlink ref="I44" r:id="rId45" display="PROCESO ATENCIÓN EN P Y P\INFORME CICLO DE ATENCIÓN MATERNO PERINATAL 2021 - 06092021.pdf"/>
    <hyperlink ref="I41" r:id="rId46" display="PROCESO GESTIÓN LOGÍSTICA\INFORME SEGURIDAD HOSPITALARIA SERVICIOS DE URGENCIAS 2021 - 03082021.pdf"/>
    <hyperlink ref="I47" r:id="rId47" display="PROCESO GESTIÓN LOGÍSTICA\INFORME MANTENIMIENTO DE BIENES - EQUIPOS BIOMEDICOS 2021 - 21102021.pdf"/>
    <hyperlink ref="I50" r:id="rId48" display="SIN PROCESO - REFERENCIA Y CONTRARREFERENCIA\INFORME REFERENCIA Y CONTRARREFERENCIA 2021 - 03112021 .pdf"/>
    <hyperlink ref="I46" r:id="rId49" display="PROCESO ATENCIÓN EN HOSPITALIZACIÓN\INFORME GESTIÓN DE CAMAS 2021 - 05102021.pdf"/>
    <hyperlink ref="I49" r:id="rId50" display="PROCESO GESTIÓN LOGÍSTICA\INFORME CONTROL DE INVENTARIO 2021 - 30102021.pdf"/>
    <hyperlink ref="I51" r:id="rId51" display="PROCESO GESTIÓN TALENTO HUMANO\INFORME GESTIÓN TALENTO HUMANO 2021 - 09112021.pdf"/>
    <hyperlink ref="I57" r:id="rId52" display="PROCESO GESTIÓN LOGÍSTICA\INFORME MANTENIMIENTO DE BIENES - EQUIPOS BIOMÉDICOS 2022 - 28032022.pdf"/>
    <hyperlink ref="I66" r:id="rId53" display="PROCESO GESTIÓN SERVICIO FARMACÉUTICO\INFORME GESTION MEDICAMENTOS CONTROL ESPECIAL 2022 - 25112022.pdf"/>
    <hyperlink ref="I68" r:id="rId54" display="PROCESO GESTIÓN SERVICIO FARMACÉUTICO\INFORME GESTIÓN SERVICIO FARMACÉUTICO 2023 - 07032023.pdf"/>
    <hyperlink ref="I71" r:id="rId55" display="SIN PROCESO - AUDITORÍAS INTEGRALES\INFORME AUDITORIA INTEGRAL UPSS 1 SEGUIMIENTO PLAN SUPERSALUD 2023 - 25042023 ANEXO.pdf"/>
    <hyperlink ref="I72" r:id="rId56" display="PROCESO GESTIÓN FINANCIERA\INFORME GESTIÓN FINANCIERA TESORERIA 2023 - 03052023.pdf"/>
    <hyperlink ref="I76" r:id="rId57" display="SIN PROCESO - AUDITORÍAS INTEGRALES\INFORME AUDITORÍA INTEGRAL UPSS 2 2023- 18072023.pdf"/>
    <hyperlink ref="I78" r:id="rId58" display="SIN PROCESO - REFERENCIA Y CONTRARREFERENCIA\INFORME REFERENCIA Y CONTRARREFERENCIA 2023 - 16082023.pdf"/>
    <hyperlink ref="I80" r:id="rId59" display="PROCESO GESTIÓN TALENTO HUMANO\INFORME GESTIÓN TALENTO HUMANO 2023 - 09102023.pdf"/>
    <hyperlink ref="I20" r:id="rId60" display="PROCESO GESTIÓN LOGÍSTICA\INFORME CONTRATO INTERMEDIACIÓN DE SEGUROS 2020 - 02072020.pdf"/>
    <hyperlink ref="I60" r:id="rId61" display="PROCESO GESTIÓN LOGÍSTICA\INFORME INSTRUCTIVO LEGALIZACIÓN DE DONACIONES 2022 - 16062022 .pdf"/>
    <hyperlink ref="I59" r:id="rId62" display="PROCESO GESTIÓN LOGÍSTICA\INFORME GESTIÓN DE BIENES MUEBLES 2022- 03062022.pdf"/>
    <hyperlink ref="I61" r:id="rId63" display="PROCESO GESTIÓN LOGÍSTICA\INFORME ASEGURAMIENTO DE BIENES MUEBLES 2022 - 10082022.pdf"/>
    <hyperlink ref="I84" r:id="rId64" display="SIN PROCESO - AUDITORÍAS INTEGRALES\INFORME AUDITORÍA INTEGRAL UPSS 3 2023 - NUEVO OCCIDENTE 30102023.pdf"/>
    <hyperlink ref="I73" r:id="rId65" display="PROCESO GESTIÓN DE LA CONTRATACIÓN\INFORME CONTRATACION BIENES Y SERVICIOS 2023-1 - 20062023.pdf"/>
    <hyperlink ref="I74" r:id="rId66" display="PROCESO GESTIÓN DE LA CONTRATACIÓN\INFORME CONTRATACION BIENES Y SERVICIOS 2023-2 - 05072023.pdf"/>
    <hyperlink ref="I82" r:id="rId67" display="PROCESO GESTIÓN DE LA CONTRATACIÓN\INFORME CONTRATACION BIENES Y SERVICIOS 2023-3 - 09112023.pdf"/>
    <hyperlink ref="I43" r:id="rId68" display="PROCESO GESTIÓN DE LA CONTRATACIÓN\INFORME CONTRATACION ADQUISICIÓN DE SERVICIOS 2021 - 06092021.pdf"/>
    <hyperlink ref="I52" r:id="rId69" display="PROCESO GESTIÓN SALUD PÚBLICA Y TERRITORIAL\INFORME LIQUIDACIÓN CONVENIOS INTERADMINISTRATIVOS 2021 - 29122021.pdf"/>
    <hyperlink ref="I55" r:id="rId70" display="PROCESO GESTIÓN SALUD PÚBLICA Y TERRITORIAL\INFORME CONDICIONES ALMACENAMIENTO PROYECTOS SALUD PÚBLICA 2022 - 16032022.pdf"/>
    <hyperlink ref="I64" r:id="rId71" display="PROCESO GESTIÓN SALUD PÚBLICA Y TERRITORIAL\INFORME PROYECTOS SALUD PUBLICA - MAITE 2022 - 06102022.pdf"/>
    <hyperlink ref="I28" r:id="rId72" display="PROCESO GESTIÓN VENTA DE SERVICIOS\INFORME EVALUACIÓN SUPERVISIÓN CONTRATOS 2020 - 20102020.pdf"/>
    <hyperlink ref="I36" r:id="rId73" display="PROCESO GESTIÓN VENTA DE SERVICIOS\INFORME CONTRATACIÓN PRESTACIÓN DE SERVICIOS 2021 - 18052021.pdf"/>
    <hyperlink ref="I56" r:id="rId74" display="PROCESO GESTIÓN VENTA DE SERVICIOS\INFORME SUPERVISIÓN CONTRATOS VIGENCIA 2022 - 17032022.pdf"/>
    <hyperlink ref="I81" r:id="rId75" display="PROCESO GESTIÓN FINANCIERA\INFORME GESTIÓN FINANCIERA PRESUPUESTO 2023 - 26102023.pdf"/>
    <hyperlink ref="I58" r:id="rId76" display="PROCESO DIRECCIONAMIENTO Y PLANEACIÓN\INFORME PAMEC 2022 - 24052022.pdf"/>
    <hyperlink ref="I69" r:id="rId77" display="PROCESO DIRECCIONAMIENTO Y PLANEACIÓN\INFORME TABLERO DE INDICADORES PLAN DE DESARROLLO 2023 - 10032023.pdf"/>
    <hyperlink ref="I38" r:id="rId78" display="PROCESO DESARROLLO DEL SISTEMA DE GESTIÓN\INFORME DESARROLLO SISTEMA DE GESTIÓN 2021 - 04062021.pdf"/>
    <hyperlink ref="I85" r:id="rId79" display="PROCESO GESTIÓN SISTEMA DE INFORMACIÓN\INFORME SEGURIDAD DE LA INFORMACIÓN 2023 - 23112023.pdf"/>
    <hyperlink ref="I63" r:id="rId80" display="SIN PROCESO - COMUNICACIÓN ORGANIZACIONAL\INFORME COMPONENTE COMUNICACIÓN ORGANIZACIONAL 2022 - 06102022.pdf"/>
    <hyperlink ref="I83" r:id="rId81" display="PROCESO GESTIÓN LOGÍSTICA\INFORME CONTROL DE INVENTARIO BIENES MUEBLES 2023 -10112023.pdf"/>
    <hyperlink ref="I86" r:id="rId82" display="PROCESO GESTIÓN FINANCIERA\INFORME CUADRE DE CAJA 2023-3 - 27122023.pdf"/>
    <hyperlink ref="I87" r:id="rId83" display="PROCESO GESTIÓN DE LA CONTRATACIÓN\INFORME CONTRATACION BIENES Y SERVICIOS 2023-4 - 19122023.pdf"/>
  </hyperlinks>
  <pageMargins left="0.7" right="0.7" top="0.75" bottom="0.75" header="0.3" footer="0.3"/>
  <pageSetup orientation="portrait" r:id="rId84"/>
  <extLst>
    <ext xmlns:x14="http://schemas.microsoft.com/office/spreadsheetml/2009/9/main" uri="{CCE6A557-97BC-4b89-ADB6-D9C93CAAB3DF}">
      <x14:dataValidations xmlns:xm="http://schemas.microsoft.com/office/excel/2006/main" count="2">
        <x14:dataValidation type="list" allowBlank="1" showInputMessage="1" showErrorMessage="1">
          <x14:formula1>
            <xm:f>'UNIDADES ADMINISTRATIVAS'!$A$1:$A$15</xm:f>
          </x14:formula1>
          <xm:sqref>G5:G215</xm:sqref>
        </x14:dataValidation>
        <x14:dataValidation type="list" allowBlank="1" showInputMessage="1" showErrorMessage="1">
          <x14:formula1>
            <xm:f>PROCESOS!$A$1:$A$27</xm:f>
          </x14:formula1>
          <xm:sqref>H5:H215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I230"/>
  <sheetViews>
    <sheetView showGridLines="0" topLeftCell="F1" zoomScale="91" zoomScaleNormal="91" workbookViewId="0">
      <selection activeCell="L5" sqref="L5"/>
    </sheetView>
  </sheetViews>
  <sheetFormatPr baseColWidth="10" defaultColWidth="11.44140625" defaultRowHeight="13.8" outlineLevelCol="1"/>
  <cols>
    <col min="1" max="1" width="1.88671875" style="58" customWidth="1"/>
    <col min="2" max="2" width="14" style="55" customWidth="1"/>
    <col min="3" max="3" width="90.6640625" style="55" customWidth="1"/>
    <col min="4" max="5" width="60.6640625" style="58" hidden="1" customWidth="1" outlineLevel="1"/>
    <col min="6" max="6" width="34.6640625" style="58" customWidth="1" collapsed="1"/>
    <col min="7" max="8" width="34.6640625" style="58" customWidth="1"/>
    <col min="9" max="9" width="19.109375" style="55" customWidth="1"/>
    <col min="10" max="10" width="1" style="55" customWidth="1"/>
    <col min="11" max="11" width="21.44140625" style="56" customWidth="1" collapsed="1"/>
    <col min="12" max="12" width="19.109375" style="58" customWidth="1"/>
    <col min="13" max="14" width="19.109375" style="56" hidden="1" customWidth="1"/>
    <col min="15" max="15" width="18.6640625" style="88" customWidth="1"/>
    <col min="16" max="18" width="21.109375" style="87" customWidth="1"/>
    <col min="19" max="19" width="16.88671875" style="87" customWidth="1"/>
    <col min="20" max="20" width="21.44140625" style="88" customWidth="1"/>
    <col min="21" max="24" width="22.6640625" style="58" customWidth="1"/>
    <col min="25" max="25" width="11.44140625" style="58"/>
    <col min="26" max="26" width="0" style="29" hidden="1" customWidth="1"/>
    <col min="27" max="27" width="12.33203125" style="29" hidden="1" customWidth="1"/>
    <col min="28" max="29" width="0" style="29" hidden="1" customWidth="1"/>
    <col min="30" max="30" width="14" style="29" hidden="1" customWidth="1"/>
    <col min="31" max="34" width="0" style="29" hidden="1" customWidth="1"/>
    <col min="35" max="35" width="0" style="58" hidden="1" customWidth="1"/>
    <col min="36" max="16384" width="11.44140625" style="58"/>
  </cols>
  <sheetData>
    <row r="1" spans="2:35" s="56" customFormat="1">
      <c r="B1" s="52"/>
      <c r="C1" s="52"/>
      <c r="I1" s="52"/>
      <c r="J1" s="52"/>
      <c r="Z1" s="27"/>
      <c r="AA1" s="27"/>
      <c r="AB1" s="27"/>
      <c r="AC1" s="27"/>
      <c r="AD1" s="27"/>
      <c r="AE1" s="27"/>
      <c r="AF1" s="27"/>
      <c r="AG1" s="27"/>
      <c r="AH1" s="27"/>
    </row>
    <row r="2" spans="2:35" s="56" customFormat="1" ht="20.399999999999999">
      <c r="B2" s="66"/>
      <c r="C2" s="53"/>
      <c r="D2" s="57"/>
      <c r="E2" s="57"/>
      <c r="F2" s="57"/>
      <c r="G2" s="57"/>
      <c r="H2" s="57"/>
      <c r="I2" s="53"/>
      <c r="J2" s="53"/>
      <c r="K2" s="77"/>
      <c r="L2" s="77"/>
      <c r="M2" s="77"/>
      <c r="N2" s="77"/>
      <c r="O2" s="77"/>
      <c r="P2" s="77"/>
      <c r="Q2" s="77"/>
      <c r="R2" s="77"/>
      <c r="S2" s="77"/>
      <c r="T2" s="77"/>
      <c r="U2" s="52"/>
      <c r="V2" s="52"/>
      <c r="W2" s="52"/>
      <c r="X2" s="52"/>
      <c r="Z2" s="27"/>
      <c r="AA2" s="27"/>
      <c r="AB2" s="27"/>
      <c r="AC2" s="27"/>
      <c r="AD2" s="27"/>
      <c r="AE2" s="27"/>
      <c r="AF2" s="27"/>
      <c r="AG2" s="27"/>
      <c r="AH2" s="27"/>
    </row>
    <row r="3" spans="2:35" s="181" customFormat="1">
      <c r="B3" s="182"/>
      <c r="C3" s="182"/>
      <c r="D3" s="112"/>
      <c r="E3" s="77" t="s">
        <v>311</v>
      </c>
      <c r="I3" s="182"/>
      <c r="J3" s="183"/>
      <c r="K3" s="182">
        <v>3</v>
      </c>
      <c r="L3" s="182">
        <v>6</v>
      </c>
      <c r="M3" s="182">
        <v>7</v>
      </c>
      <c r="N3" s="182">
        <v>5</v>
      </c>
      <c r="O3" s="182">
        <v>8</v>
      </c>
      <c r="P3" s="182">
        <v>9</v>
      </c>
      <c r="Q3" s="182">
        <v>11</v>
      </c>
      <c r="R3" s="182">
        <v>13</v>
      </c>
      <c r="S3" s="182">
        <v>15</v>
      </c>
      <c r="T3" s="182">
        <v>16</v>
      </c>
      <c r="U3" s="182" t="s">
        <v>307</v>
      </c>
      <c r="V3" s="182" t="s">
        <v>308</v>
      </c>
      <c r="W3" s="182" t="s">
        <v>309</v>
      </c>
      <c r="X3" s="182" t="s">
        <v>310</v>
      </c>
      <c r="Z3" s="114"/>
      <c r="AA3" s="114"/>
      <c r="AB3" s="114"/>
      <c r="AC3" s="114"/>
      <c r="AD3" s="114"/>
      <c r="AE3" s="114"/>
      <c r="AF3" s="114"/>
      <c r="AG3" s="114"/>
      <c r="AH3" s="114"/>
      <c r="AI3" s="112"/>
    </row>
    <row r="4" spans="2:35" ht="57.75" customHeight="1">
      <c r="B4" s="51" t="s">
        <v>0</v>
      </c>
      <c r="C4" s="51" t="s">
        <v>1</v>
      </c>
      <c r="D4" s="51" t="s">
        <v>2</v>
      </c>
      <c r="E4" s="51" t="s">
        <v>333</v>
      </c>
      <c r="F4" s="51" t="s">
        <v>3</v>
      </c>
      <c r="G4" s="51" t="s">
        <v>4</v>
      </c>
      <c r="H4" s="51" t="s">
        <v>5</v>
      </c>
      <c r="I4" s="51" t="s">
        <v>349</v>
      </c>
      <c r="J4" s="53"/>
      <c r="K4" s="59" t="s">
        <v>189</v>
      </c>
      <c r="L4" s="59" t="s">
        <v>188</v>
      </c>
      <c r="M4" s="59" t="s">
        <v>335</v>
      </c>
      <c r="N4" s="59" t="s">
        <v>334</v>
      </c>
      <c r="O4" s="59" t="s">
        <v>196</v>
      </c>
      <c r="P4" s="130" t="s">
        <v>358</v>
      </c>
      <c r="Q4" s="132" t="s">
        <v>359</v>
      </c>
      <c r="R4" s="131" t="s">
        <v>360</v>
      </c>
      <c r="S4" s="62" t="s">
        <v>323</v>
      </c>
      <c r="T4" s="59" t="s">
        <v>7</v>
      </c>
      <c r="U4" s="51" t="s">
        <v>368</v>
      </c>
      <c r="V4" s="51" t="s">
        <v>367</v>
      </c>
      <c r="W4" s="51" t="s">
        <v>369</v>
      </c>
      <c r="X4" s="51" t="s">
        <v>207</v>
      </c>
    </row>
    <row r="5" spans="2:35" s="29" customFormat="1" ht="33" customHeight="1">
      <c r="B5" s="50">
        <v>2019</v>
      </c>
      <c r="C5" s="49" t="s">
        <v>56</v>
      </c>
      <c r="D5" s="39" t="s">
        <v>57</v>
      </c>
      <c r="E5" s="46" t="str">
        <f>[8]Cumplimiento!$B$6</f>
        <v>Auditoría Interna Cajas Menores 2019</v>
      </c>
      <c r="F5" s="39" t="s">
        <v>34</v>
      </c>
      <c r="G5" s="39" t="s">
        <v>35</v>
      </c>
      <c r="H5" s="39" t="s">
        <v>36</v>
      </c>
      <c r="I5" s="10">
        <v>43516</v>
      </c>
      <c r="J5" s="53"/>
      <c r="K5" s="43">
        <f>VLOOKUP(E5,[8]Cumplimiento!$B$6:$P$30,2,FALSE)</f>
        <v>9</v>
      </c>
      <c r="L5" s="47" t="str">
        <f>VLOOKUP(E5,[8]Cumplimiento!$B$6:$P$30,5,FALSE)</f>
        <v>SI</v>
      </c>
      <c r="M5" s="67">
        <f>VLOOKUP(E5,[8]Cumplimiento!$B$6:$P$30,6,FALSE)</f>
        <v>1</v>
      </c>
      <c r="N5" s="44">
        <f>_xlfn.IFNA(VLOOKUP(E5,[8]Cumplimiento!$B$6:$P$30,4,FALSE),"-")</f>
        <v>44169</v>
      </c>
      <c r="O5" s="67">
        <f>VLOOKUP(E5,[8]Cumplimiento!$B$6:$P$30,7,FALSE)</f>
        <v>13</v>
      </c>
      <c r="P5" s="70">
        <f>VLOOKUP(E5,[8]Cumplimiento!$B$6:$P$30,8,FALSE)</f>
        <v>1</v>
      </c>
      <c r="Q5" s="71">
        <f>VLOOKUP(E5,[8]Cumplimiento!$B$6:$P$25,9,FALSE)</f>
        <v>7</v>
      </c>
      <c r="R5" s="71">
        <f>VLOOKUP(E5,[8]Cumplimiento!$B$6:$P$25,10,FALSE)</f>
        <v>5</v>
      </c>
      <c r="S5" s="72">
        <f>VLOOKUP(E5,[8]Cumplimiento!$B$6:$P$25,11,FALSE)</f>
        <v>0</v>
      </c>
      <c r="T5" s="67">
        <f>VLOOKUP(E5,[8]Cumplimiento!$B$6:$P$25,3,FALSE)</f>
        <v>0</v>
      </c>
      <c r="U5" s="42">
        <f>IF(E5="","",IFERROR(P5/(SUM(P5,Q5,R5)),"-"))</f>
        <v>7.6923076923076927E-2</v>
      </c>
      <c r="V5" s="42">
        <f>IF(E5="","",IFERROR(Q5/(SUM(P5,Q5,R5)),"-"))</f>
        <v>0.53846153846153844</v>
      </c>
      <c r="W5" s="42">
        <f>IF(E5="","",IFERROR(R5/(SUM(P5,Q5,R5)),"-"))</f>
        <v>0.38461538461538464</v>
      </c>
      <c r="X5" s="45">
        <f>IF(E5="","",IFERROR(T5/K5,"-"))</f>
        <v>0</v>
      </c>
      <c r="AI5" s="30">
        <f>SUM(P5:S5)</f>
        <v>13</v>
      </c>
    </row>
    <row r="6" spans="2:35" s="29" customFormat="1" ht="33" customHeight="1">
      <c r="B6" s="74">
        <v>2019</v>
      </c>
      <c r="C6" s="49" t="s">
        <v>9</v>
      </c>
      <c r="D6" s="39" t="s">
        <v>191</v>
      </c>
      <c r="E6" s="40" t="str">
        <f>[9]Cumplimiento!$B$6</f>
        <v>Auditoría Interna Proceso Atención Quirúrgica 2019</v>
      </c>
      <c r="F6" s="39" t="s">
        <v>10</v>
      </c>
      <c r="G6" s="41" t="s">
        <v>11</v>
      </c>
      <c r="H6" s="41" t="s">
        <v>12</v>
      </c>
      <c r="I6" s="75">
        <v>43613</v>
      </c>
      <c r="J6" s="53"/>
      <c r="K6" s="43">
        <f>VLOOKUP(E6,[9]Cumplimiento!$B$6:$P$30,2,FALSE)</f>
        <v>4</v>
      </c>
      <c r="L6" s="47" t="str">
        <f>VLOOKUP(E6,[9]Cumplimiento!$B$6:$P$30,5,FALSE)</f>
        <v>SI</v>
      </c>
      <c r="M6" s="67">
        <f>VLOOKUP(E6,[9]Cumplimiento!$B$6:$P$30,6,FALSE)</f>
        <v>2</v>
      </c>
      <c r="N6" s="44">
        <f>VLOOKUP(E6,[9]Cumplimiento!$B$6:$P$30,4,FALSE)</f>
        <v>45231</v>
      </c>
      <c r="O6" s="67">
        <f>VLOOKUP(E6,[9]Cumplimiento!$B$6:$P$30,7,FALSE)</f>
        <v>15</v>
      </c>
      <c r="P6" s="70">
        <f>VLOOKUP(E6,[9]Cumplimiento!$B$6:$P$30,8,FALSE)</f>
        <v>11</v>
      </c>
      <c r="Q6" s="71">
        <f>VLOOKUP(E6,[9]Cumplimiento!$B$6:$P$25,9,FALSE)</f>
        <v>1</v>
      </c>
      <c r="R6" s="71">
        <f>VLOOKUP(E6,[9]Cumplimiento!$B$6:$P$25,10,FALSE)</f>
        <v>3</v>
      </c>
      <c r="S6" s="72">
        <f>VLOOKUP(E6,[9]Cumplimiento!$B$6:$P$25,11,FALSE)</f>
        <v>0</v>
      </c>
      <c r="T6" s="67">
        <f>VLOOKUP(E6,[9]Cumplimiento!$B$6:$P$25,3,FALSE)</f>
        <v>2</v>
      </c>
      <c r="U6" s="42">
        <f>IF(E6="","",IFERROR(P6/(SUM(P6,Q6,R6)),"-"))</f>
        <v>0.73333333333333328</v>
      </c>
      <c r="V6" s="42">
        <f>IF(E6="","",IFERROR(Q6/(SUM(P6,Q6,R6)),"-"))</f>
        <v>6.6666666666666666E-2</v>
      </c>
      <c r="W6" s="42">
        <f>IF(E6="","",IFERROR(R6/(SUM(P6,Q6,R6)),"-"))</f>
        <v>0.2</v>
      </c>
      <c r="X6" s="42">
        <f t="shared" ref="X6:X68" si="0">IF(E6="","",IFERROR(T6/K6,"-"))</f>
        <v>0.5</v>
      </c>
      <c r="AA6" s="29" t="s">
        <v>209</v>
      </c>
      <c r="AD6" s="29" t="e">
        <f>SUM(1/COUNTIF(#REF!,#REF!))</f>
        <v>#REF!</v>
      </c>
      <c r="AI6" s="30">
        <f t="shared" ref="AI6:AI17" si="1">SUM(P6:S6)</f>
        <v>15</v>
      </c>
    </row>
    <row r="7" spans="2:35" s="29" customFormat="1" ht="33" customHeight="1">
      <c r="B7" s="50">
        <v>2019</v>
      </c>
      <c r="C7" s="49" t="s">
        <v>42</v>
      </c>
      <c r="D7" s="49" t="s">
        <v>43</v>
      </c>
      <c r="E7" s="39" t="str">
        <f>[10]Cumplimiento!$B$6</f>
        <v>Auditoría Interna Proceso Gestión Venta de Servicios 2019</v>
      </c>
      <c r="F7" s="49" t="s">
        <v>44</v>
      </c>
      <c r="G7" s="39" t="s">
        <v>45</v>
      </c>
      <c r="H7" s="39" t="s">
        <v>46</v>
      </c>
      <c r="I7" s="10">
        <v>43682</v>
      </c>
      <c r="J7" s="53"/>
      <c r="K7" s="43">
        <f>VLOOKUP(E7,[10]Cumplimiento!$B$6:$P$30,2,FALSE)</f>
        <v>3</v>
      </c>
      <c r="L7" s="47" t="str">
        <f>VLOOKUP(E7,[10]Cumplimiento!$B$6:$P$30,5,FALSE)</f>
        <v>SI</v>
      </c>
      <c r="M7" s="43">
        <f>VLOOKUP(E7,[10]Cumplimiento!$B$6:$P$30,6,FALSE)</f>
        <v>4</v>
      </c>
      <c r="N7" s="44">
        <f>VLOOKUP(E7,[10]Cumplimiento!$B$6:$P$30,4,FALSE)</f>
        <v>44805</v>
      </c>
      <c r="O7" s="67">
        <f>VLOOKUP(E7,[10]Cumplimiento!$B$6:$P$30,7,FALSE)</f>
        <v>11</v>
      </c>
      <c r="P7" s="70">
        <f>VLOOKUP(E7,[10]Cumplimiento!$B$6:$P$30,8,FALSE)</f>
        <v>10</v>
      </c>
      <c r="Q7" s="71">
        <f>VLOOKUP(E7,[10]Cumplimiento!$B$6:$P$30,9,FALSE)</f>
        <v>0</v>
      </c>
      <c r="R7" s="71">
        <f>VLOOKUP(E7,[10]Cumplimiento!$B$6:$P$30,10,FALSE)</f>
        <v>1</v>
      </c>
      <c r="S7" s="72">
        <f>VLOOKUP(E7,[10]Cumplimiento!$B$6:$P$30,11,FALSE)</f>
        <v>0</v>
      </c>
      <c r="T7" s="67">
        <f>VLOOKUP(E7,[10]Cumplimiento!$B$6:$P$30,3,FALSE)</f>
        <v>2</v>
      </c>
      <c r="U7" s="42">
        <f>IF(E7="","",IFERROR(P7/(SUM(P7,Q7,R7)),"-"))</f>
        <v>0.90909090909090906</v>
      </c>
      <c r="V7" s="42">
        <f>IF(E7="","",IFERROR(Q7/(SUM(P7,Q7,R7)),"-"))</f>
        <v>0</v>
      </c>
      <c r="W7" s="42">
        <f>IF(E7="","",IFERROR(R7/(SUM(P7,Q7,R7)),"-"))</f>
        <v>9.0909090909090912E-2</v>
      </c>
      <c r="X7" s="45">
        <f>IF(E7="","",IFERROR(T7/K7,"-"))</f>
        <v>0.66666666666666663</v>
      </c>
      <c r="AI7" s="30">
        <f>SUM(P7:S7)</f>
        <v>11</v>
      </c>
    </row>
    <row r="8" spans="2:35" s="29" customFormat="1" ht="33" customHeight="1">
      <c r="B8" s="50">
        <v>2019</v>
      </c>
      <c r="C8" s="49" t="s">
        <v>13</v>
      </c>
      <c r="D8" s="39" t="s">
        <v>14</v>
      </c>
      <c r="E8" s="39" t="str">
        <f>[11]Cumplimiento!$B$6</f>
        <v>Auditoria Interna Proceso Atención en Urgencias 2019</v>
      </c>
      <c r="F8" s="39" t="s">
        <v>15</v>
      </c>
      <c r="G8" s="39" t="s">
        <v>11</v>
      </c>
      <c r="H8" s="39" t="s">
        <v>16</v>
      </c>
      <c r="I8" s="75">
        <v>43692</v>
      </c>
      <c r="J8" s="53"/>
      <c r="K8" s="43">
        <f>VLOOKUP(E8,[11]Cumplimiento!$B$6:$P$30,2,FALSE)</f>
        <v>6</v>
      </c>
      <c r="L8" s="6" t="str">
        <f>VLOOKUP(E8,[11]Cumplimiento!$B$6:$P$30,5,FALSE)</f>
        <v>SI</v>
      </c>
      <c r="M8" s="8">
        <f>VLOOKUP(E8,[11]Cumplimiento!$B$6:$P$30,6,FALSE)</f>
        <v>2</v>
      </c>
      <c r="N8" s="9">
        <f>VLOOKUP(E8,[11]Cumplimiento!$B$6:$P$30,4,FALSE)</f>
        <v>44683</v>
      </c>
      <c r="O8" s="6">
        <f>VLOOKUP(E8,[11]Cumplimiento!$B$6:$P$30,7,FALSE)</f>
        <v>7</v>
      </c>
      <c r="P8" s="115">
        <f>VLOOKUP(E8,[11]Cumplimiento!$B$6:$P$30,8,FALSE)</f>
        <v>3</v>
      </c>
      <c r="Q8" s="116">
        <f>VLOOKUP(E8,[11]Cumplimiento!$B$6:$P$25,9,FALSE)</f>
        <v>2</v>
      </c>
      <c r="R8" s="116">
        <f>VLOOKUP(E8,[11]Cumplimiento!$B$6:$P$25,10,FALSE)</f>
        <v>2</v>
      </c>
      <c r="S8" s="117">
        <f>VLOOKUP(E8,[11]Cumplimiento!$B$6:$P$25,11,FALSE)</f>
        <v>0</v>
      </c>
      <c r="T8" s="14">
        <f>VLOOKUP(E8,[11]Cumplimiento!$B$6:$P$25,3,FALSE)</f>
        <v>2</v>
      </c>
      <c r="U8" s="42">
        <f t="shared" ref="U8:U71" si="2">IF(E8="","",IFERROR(P8/(SUM(P8,Q8,R8)),"-"))</f>
        <v>0.42857142857142855</v>
      </c>
      <c r="V8" s="42">
        <f t="shared" ref="V8:V71" si="3">IF(E8="","",IFERROR(Q8/(SUM(P8,Q8,R8)),"-"))</f>
        <v>0.2857142857142857</v>
      </c>
      <c r="W8" s="42">
        <f t="shared" ref="W8:W71" si="4">IF(E8="","",IFERROR(R8/(SUM(P8,Q8,R8)),"-"))</f>
        <v>0.2857142857142857</v>
      </c>
      <c r="X8" s="45">
        <f t="shared" si="0"/>
        <v>0.33333333333333331</v>
      </c>
      <c r="AI8" s="30">
        <f t="shared" si="1"/>
        <v>7</v>
      </c>
    </row>
    <row r="9" spans="2:35" s="29" customFormat="1" ht="33" customHeight="1">
      <c r="B9" s="50">
        <v>2019</v>
      </c>
      <c r="C9" s="49" t="s">
        <v>17</v>
      </c>
      <c r="D9" s="39" t="s">
        <v>18</v>
      </c>
      <c r="E9" s="46" t="str">
        <f>[12]Cumplimiento!$B$7</f>
        <v>Auditoria Interna Proceso Atención en Hospitalización 2019</v>
      </c>
      <c r="F9" s="39" t="s">
        <v>15</v>
      </c>
      <c r="G9" s="39" t="s">
        <v>11</v>
      </c>
      <c r="H9" s="39" t="s">
        <v>19</v>
      </c>
      <c r="I9" s="75">
        <v>43727</v>
      </c>
      <c r="J9" s="53"/>
      <c r="K9" s="43">
        <f>VLOOKUP(E9,[12]Cumplimiento!$B$7:$R$30,3,FALSE)</f>
        <v>7</v>
      </c>
      <c r="L9" s="6" t="str">
        <f>VLOOKUP(E9,[12]Cumplimiento!$B$7:$R$30,6,FALSE)</f>
        <v>SI</v>
      </c>
      <c r="M9" s="8">
        <f>VLOOKUP(E9,[12]Cumplimiento!$B$7:$R$30,7,FALSE)</f>
        <v>1</v>
      </c>
      <c r="N9" s="9">
        <f>VLOOKUP(E9,[12]Cumplimiento!$B$7:$R$30,5,FALSE)</f>
        <v>43804</v>
      </c>
      <c r="O9" s="6">
        <f>VLOOKUP(E9,[12]Cumplimiento!$B$7:$R$30,8,FALSE)</f>
        <v>15</v>
      </c>
      <c r="P9" s="115">
        <f>VLOOKUP(E9,[12]Cumplimiento!$B$7:$R$30,9,FALSE)</f>
        <v>0</v>
      </c>
      <c r="Q9" s="116">
        <f>VLOOKUP(E9,[12]Cumplimiento!$B$7:$R$30,11,FALSE)</f>
        <v>1</v>
      </c>
      <c r="R9" s="116">
        <f>VLOOKUP(E9,[12]Cumplimiento!$B$7:$R$30,13,FALSE)</f>
        <v>0</v>
      </c>
      <c r="S9" s="117">
        <f>VLOOKUP(E9,[12]Cumplimiento!$B$7:$R$30,15,FALSE)</f>
        <v>14</v>
      </c>
      <c r="T9" s="14">
        <f>VLOOKUP(E9,[12]Cumplimiento!$B$7:$R$30,16,FALSE)</f>
        <v>0</v>
      </c>
      <c r="U9" s="42">
        <f t="shared" si="2"/>
        <v>0</v>
      </c>
      <c r="V9" s="42">
        <f t="shared" si="3"/>
        <v>1</v>
      </c>
      <c r="W9" s="42">
        <f t="shared" si="4"/>
        <v>0</v>
      </c>
      <c r="X9" s="45">
        <f t="shared" si="0"/>
        <v>0</v>
      </c>
      <c r="AA9" s="29" t="s">
        <v>212</v>
      </c>
      <c r="AI9" s="30">
        <f t="shared" si="1"/>
        <v>15</v>
      </c>
    </row>
    <row r="10" spans="2:35" s="29" customFormat="1" ht="33" customHeight="1">
      <c r="B10" s="50">
        <v>2019</v>
      </c>
      <c r="C10" s="49" t="s">
        <v>20</v>
      </c>
      <c r="D10" s="39" t="s">
        <v>21</v>
      </c>
      <c r="E10" s="48" t="str">
        <f>[13]Cumplimiento!$B$6</f>
        <v>Auditoría Interna Proceso Gestión Servicio Farmacéutico 2019</v>
      </c>
      <c r="F10" s="39" t="s">
        <v>15</v>
      </c>
      <c r="G10" s="39" t="s">
        <v>11</v>
      </c>
      <c r="H10" s="39" t="s">
        <v>22</v>
      </c>
      <c r="I10" s="75">
        <v>43762</v>
      </c>
      <c r="J10" s="53"/>
      <c r="K10" s="8">
        <f>VLOOKUP(E10,[13]Cumplimiento!$B$6:$P$30,2,FALSE)</f>
        <v>8</v>
      </c>
      <c r="L10" s="6" t="str">
        <f>VLOOKUP(E10,[13]Cumplimiento!$B$6:$P$30,5,FALSE)</f>
        <v>SI</v>
      </c>
      <c r="M10" s="8">
        <f>VLOOKUP(E10,[13]Cumplimiento!$B$6:$P$30,6,FALSE)</f>
        <v>1</v>
      </c>
      <c r="N10" s="9">
        <f>VLOOKUP(E10,[13]Cumplimiento!$B$6:$P$30,4,FALSE)</f>
        <v>45226</v>
      </c>
      <c r="O10" s="6">
        <f>VLOOKUP(E10,[13]Cumplimiento!$B$6:$P$30,7,FALSE)</f>
        <v>15</v>
      </c>
      <c r="P10" s="115">
        <f>VLOOKUP(E10,[13]Cumplimiento!$B$6:$P$30,8,FALSE)</f>
        <v>0</v>
      </c>
      <c r="Q10" s="116">
        <f>VLOOKUP(E10,[13]Cumplimiento!$B$6:$P$30,9,FALSE)</f>
        <v>0</v>
      </c>
      <c r="R10" s="116">
        <f>VLOOKUP(E10,[13]Cumplimiento!$B$6:$P$30,10,FALSE)</f>
        <v>15</v>
      </c>
      <c r="S10" s="117">
        <f>VLOOKUP(E10,[13]Cumplimiento!$B$6:$P$30,11,FALSE)</f>
        <v>0</v>
      </c>
      <c r="T10" s="14">
        <f>VLOOKUP(E10,[13]Cumplimiento!$B$6:$P$30,3,FALSE)</f>
        <v>0</v>
      </c>
      <c r="U10" s="42">
        <f t="shared" si="2"/>
        <v>0</v>
      </c>
      <c r="V10" s="42">
        <f t="shared" si="3"/>
        <v>0</v>
      </c>
      <c r="W10" s="42">
        <f t="shared" si="4"/>
        <v>1</v>
      </c>
      <c r="X10" s="45">
        <f t="shared" si="0"/>
        <v>0</v>
      </c>
      <c r="AA10" s="31" t="s">
        <v>214</v>
      </c>
      <c r="AI10" s="30">
        <f t="shared" si="1"/>
        <v>15</v>
      </c>
    </row>
    <row r="11" spans="2:35" s="29" customFormat="1" ht="33" customHeight="1">
      <c r="B11" s="50">
        <v>2019</v>
      </c>
      <c r="C11" s="49" t="s">
        <v>52</v>
      </c>
      <c r="D11" s="49" t="s">
        <v>53</v>
      </c>
      <c r="E11" s="46" t="str">
        <f>[14]Cumplimiento!$B$6</f>
        <v>Auditoria Interna Proceso de Gestión Jurídica 2019</v>
      </c>
      <c r="F11" s="49" t="s">
        <v>10</v>
      </c>
      <c r="G11" s="39" t="s">
        <v>54</v>
      </c>
      <c r="H11" s="39" t="s">
        <v>55</v>
      </c>
      <c r="I11" s="75">
        <v>43791</v>
      </c>
      <c r="J11" s="53"/>
      <c r="K11" s="67">
        <f>VLOOKUP(E11,[14]Cumplimiento!$B$6:$P$30,2,FALSE)</f>
        <v>4</v>
      </c>
      <c r="L11" s="69" t="str">
        <f>VLOOKUP(E11,[14]Cumplimiento!$B$6:$P$30,5,FALSE)</f>
        <v>NO</v>
      </c>
      <c r="M11" s="67" t="str">
        <f>VLOOKUP(E11,[14]Cumplimiento!$B$6:$P$30,6,FALSE)</f>
        <v/>
      </c>
      <c r="N11" s="68">
        <f>VLOOKUP(E11,[14]Cumplimiento!$B$6:$P$30,4,FALSE)</f>
        <v>0</v>
      </c>
      <c r="O11" s="67">
        <f>VLOOKUP(E11,[14]Cumplimiento!$B$6:$P$30,7,FALSE)</f>
        <v>0</v>
      </c>
      <c r="P11" s="70">
        <f>VLOOKUP(E11,[14]Cumplimiento!$B$6:$P$30,8,FALSE)</f>
        <v>0</v>
      </c>
      <c r="Q11" s="71">
        <f>VLOOKUP(E11,[14]Cumplimiento!$B$6:$P$10,9,FALSE)</f>
        <v>0</v>
      </c>
      <c r="R11" s="71">
        <f>VLOOKUP(E11,[14]Cumplimiento!$B$6:$P$10,10,FALSE)</f>
        <v>0</v>
      </c>
      <c r="S11" s="72">
        <f>VLOOKUP(E11,[14]Cumplimiento!$B$6:$P$10,11,FALSE)</f>
        <v>0</v>
      </c>
      <c r="T11" s="67">
        <f>VLOOKUP(E11,[14]Cumplimiento!$B$6:$P$10,3,FALSE)</f>
        <v>0</v>
      </c>
      <c r="U11" s="42" t="str">
        <f>IF(E11="","",IFERROR(P11/(SUM(P11,Q11,R11)),"-"))</f>
        <v>-</v>
      </c>
      <c r="V11" s="42" t="str">
        <f>IF(E11="","",IFERROR(Q11/(SUM(P11,Q11,R11)),"-"))</f>
        <v>-</v>
      </c>
      <c r="W11" s="42" t="str">
        <f>IF(E11="","",IFERROR(R11/(SUM(P11,Q11,R11)),"-"))</f>
        <v>-</v>
      </c>
      <c r="X11" s="45">
        <f>IF(E11="","",IFERROR(T11/K11,"-"))</f>
        <v>0</v>
      </c>
      <c r="AI11" s="30">
        <f>SUM(P11:S11)</f>
        <v>0</v>
      </c>
    </row>
    <row r="12" spans="2:35" s="29" customFormat="1" ht="33" customHeight="1">
      <c r="B12" s="50">
        <v>2019</v>
      </c>
      <c r="C12" s="49" t="s">
        <v>23</v>
      </c>
      <c r="D12" s="39" t="s">
        <v>24</v>
      </c>
      <c r="E12" s="46" t="str">
        <f>[15]Cumplimiento!$B$6</f>
        <v>Auditoría Interna Proceso Atención en Laboratorio Clínico 2019</v>
      </c>
      <c r="F12" s="39" t="s">
        <v>15</v>
      </c>
      <c r="G12" s="39" t="s">
        <v>11</v>
      </c>
      <c r="H12" s="39" t="s">
        <v>25</v>
      </c>
      <c r="I12" s="75">
        <v>43801</v>
      </c>
      <c r="J12" s="53"/>
      <c r="K12" s="8">
        <f>VLOOKUP(E12,[15]Cumplimiento!$B$6:$P$30,2,FALSE)</f>
        <v>8</v>
      </c>
      <c r="L12" s="6" t="str">
        <f>VLOOKUP(E12,[15]Cumplimiento!$B$6:$P$30,5,FALSE)</f>
        <v>SI</v>
      </c>
      <c r="M12" s="8">
        <f>VLOOKUP(E12,[15]Cumplimiento!$B$6:$P$30,6,FALSE)</f>
        <v>1</v>
      </c>
      <c r="N12" s="9">
        <f>VLOOKUP(E12,[15]Cumplimiento!$B$6:$P$30,4,FALSE)</f>
        <v>45229</v>
      </c>
      <c r="O12" s="6">
        <f>VLOOKUP(E12,[15]Cumplimiento!$B$6:$P$30,7,FALSE)</f>
        <v>8</v>
      </c>
      <c r="P12" s="115">
        <f>VLOOKUP(E12,[15]Cumplimiento!$B$6:$P$30,8,FALSE)</f>
        <v>0</v>
      </c>
      <c r="Q12" s="116">
        <f>VLOOKUP(E12,[15]Cumplimiento!$B$6:$P$10,9,FALSE)</f>
        <v>0</v>
      </c>
      <c r="R12" s="116">
        <f>VLOOKUP(E12,[15]Cumplimiento!$B$6:$P$10,10,FALSE)</f>
        <v>8</v>
      </c>
      <c r="S12" s="117">
        <f>VLOOKUP(E12,[15]Cumplimiento!$B$6:$P$10,11,FALSE)</f>
        <v>0</v>
      </c>
      <c r="T12" s="14">
        <f>VLOOKUP(E12,[15]Cumplimiento!$B$6:$P$10,3,FALSE)</f>
        <v>0</v>
      </c>
      <c r="U12" s="42">
        <f t="shared" si="2"/>
        <v>0</v>
      </c>
      <c r="V12" s="42">
        <f t="shared" si="3"/>
        <v>0</v>
      </c>
      <c r="W12" s="42">
        <f t="shared" si="4"/>
        <v>1</v>
      </c>
      <c r="X12" s="45">
        <f t="shared" si="0"/>
        <v>0</v>
      </c>
      <c r="AA12" s="29">
        <f ca="1">COUNTA(UNICOS('[16]PM Atención Ambulatoria'!E:E))</f>
        <v>1</v>
      </c>
      <c r="AB12" s="29">
        <f>COUNTA(#REF!="")</f>
        <v>1</v>
      </c>
      <c r="AC12" s="29">
        <f>COUNTA('[16]PM Atención Ambulatoria'!#REF!)</f>
        <v>1</v>
      </c>
      <c r="AD12" s="32" t="e">
        <f t="array" ref="AD12">SUMPRODUCT(1/COUNTIF('[16]PM Atención Ambulatoria'!#REF!,'[16]PM Atención Ambulatoria'!#REF!))</f>
        <v>#REF!</v>
      </c>
      <c r="AI12" s="30">
        <f t="shared" si="1"/>
        <v>8</v>
      </c>
    </row>
    <row r="13" spans="2:35" s="29" customFormat="1" ht="33" customHeight="1">
      <c r="B13" s="50">
        <v>2019</v>
      </c>
      <c r="C13" s="49" t="s">
        <v>32</v>
      </c>
      <c r="D13" s="39" t="s">
        <v>33</v>
      </c>
      <c r="E13" s="46" t="str">
        <f>[8]Cumplimiento!$B$7</f>
        <v>Auditoría Interna Proceso Gestión Financiera 2019</v>
      </c>
      <c r="F13" s="39" t="s">
        <v>34</v>
      </c>
      <c r="G13" s="39" t="s">
        <v>35</v>
      </c>
      <c r="H13" s="39" t="s">
        <v>36</v>
      </c>
      <c r="I13" s="10">
        <v>43810</v>
      </c>
      <c r="J13" s="53"/>
      <c r="K13" s="43">
        <f>VLOOKUP(E13,[8]Cumplimiento!$B$6:$P$30,2,FALSE)</f>
        <v>15</v>
      </c>
      <c r="L13" s="47" t="str">
        <f>VLOOKUP(E13,[8]Cumplimiento!$B$6:$P$30,5,FALSE)</f>
        <v>NO</v>
      </c>
      <c r="M13" s="67" t="str">
        <f>VLOOKUP(E13,[8]Cumplimiento!$B$6:$P$30,6,FALSE)</f>
        <v/>
      </c>
      <c r="N13" s="44">
        <f>_xlfn.IFNA(VLOOKUP(E13,[8]Cumplimiento!$B$6:$P$30,4,FALSE),"-")</f>
        <v>0</v>
      </c>
      <c r="O13" s="67">
        <f>VLOOKUP(E13,[8]Cumplimiento!$B$6:$P$30,7,FALSE)</f>
        <v>0</v>
      </c>
      <c r="P13" s="70">
        <f>VLOOKUP(E13,[8]Cumplimiento!$B$6:$P$30,8,FALSE)</f>
        <v>0</v>
      </c>
      <c r="Q13" s="71">
        <f>VLOOKUP(E13,[8]Cumplimiento!$B$6:$P$25,9,FALSE)</f>
        <v>0</v>
      </c>
      <c r="R13" s="71">
        <f>VLOOKUP(E13,[8]Cumplimiento!$B$6:$P$25,10,FALSE)</f>
        <v>0</v>
      </c>
      <c r="S13" s="72">
        <f>VLOOKUP(E13,[8]Cumplimiento!$B$6:$P$25,11,FALSE)</f>
        <v>0</v>
      </c>
      <c r="T13" s="67">
        <f>VLOOKUP(E13,[8]Cumplimiento!$B$6:$P$25,3,FALSE)</f>
        <v>0</v>
      </c>
      <c r="U13" s="42" t="str">
        <f>IF(E13="","",IFERROR(P13/(SUM(P13,Q13,R13)),"-"))</f>
        <v>-</v>
      </c>
      <c r="V13" s="42" t="str">
        <f>IF(E13="","",IFERROR(Q13/(SUM(P13,Q13,R13)),"-"))</f>
        <v>-</v>
      </c>
      <c r="W13" s="42" t="str">
        <f>IF(E13="","",IFERROR(R13/(SUM(P13,Q13,R13)),"-"))</f>
        <v>-</v>
      </c>
      <c r="X13" s="45">
        <f>IF(E13="","",IFERROR(T13/K13,"-"))</f>
        <v>0</v>
      </c>
      <c r="AA13" s="29">
        <f ca="1">COUNTA(UNICOS('[16]PM Atención Ambulatoria'!E:E))</f>
        <v>1</v>
      </c>
      <c r="AB13" s="29">
        <f>COUNTA(#REF!="")</f>
        <v>1</v>
      </c>
      <c r="AC13" s="29">
        <f>COUNTA('[16]PM Atención Ambulatoria'!#REF!)</f>
        <v>1</v>
      </c>
      <c r="AD13" s="32" t="e">
        <f t="array" ref="AD13">SUMPRODUCT(1/COUNTIF('[16]PM Atención Ambulatoria'!#REF!,'[16]PM Atención Ambulatoria'!#REF!))</f>
        <v>#REF!</v>
      </c>
      <c r="AI13" s="30">
        <f>SUM(P13:S13)</f>
        <v>0</v>
      </c>
    </row>
    <row r="14" spans="2:35" s="29" customFormat="1" ht="33" customHeight="1">
      <c r="B14" s="50">
        <v>2019</v>
      </c>
      <c r="C14" s="49" t="s">
        <v>37</v>
      </c>
      <c r="D14" s="39" t="s">
        <v>38</v>
      </c>
      <c r="E14" s="46" t="str">
        <f>[17]Cumplimiento!$B$6</f>
        <v>Auditoría Interna Procedimiento Control del inventario de bienes muebles e inmuebles 2019</v>
      </c>
      <c r="F14" s="39" t="s">
        <v>39</v>
      </c>
      <c r="G14" s="39" t="s">
        <v>40</v>
      </c>
      <c r="H14" s="39" t="s">
        <v>41</v>
      </c>
      <c r="I14" s="178">
        <v>43811</v>
      </c>
      <c r="J14" s="53"/>
      <c r="K14" s="43">
        <f>VLOOKUP(E14,[17]Cumplimiento!$B$6:$P$30,2,FALSE)</f>
        <v>4</v>
      </c>
      <c r="L14" s="47" t="str">
        <f>VLOOKUP(E14,[17]Cumplimiento!$B$6:$P$30,5,FALSE)</f>
        <v>SI</v>
      </c>
      <c r="M14" s="43">
        <f>VLOOKUP(E14,[17]Cumplimiento!$B$6:$P$30,6,FALSE)</f>
        <v>1</v>
      </c>
      <c r="N14" s="44">
        <f>VLOOKUP(E14,[17]Cumplimiento!$B$6:$P$30,4,FALSE)</f>
        <v>44019</v>
      </c>
      <c r="O14" s="67">
        <f>VLOOKUP(E14,[17]Cumplimiento!$B$6:$P$30,7,FALSE)</f>
        <v>4</v>
      </c>
      <c r="P14" s="70">
        <f>VLOOKUP(E14,[17]Cumplimiento!$B$6:$P$30,8,FALSE)</f>
        <v>0</v>
      </c>
      <c r="Q14" s="71">
        <f>VLOOKUP(E14,[17]Cumplimiento!$B$6:$P$30,9,FALSE)</f>
        <v>3</v>
      </c>
      <c r="R14" s="71">
        <f>VLOOKUP(E14,[17]Cumplimiento!$B$6:$P$30,10,FALSE)</f>
        <v>1</v>
      </c>
      <c r="S14" s="72">
        <f>VLOOKUP(E14,[17]Cumplimiento!$B$6:$P$30,11,FALSE)</f>
        <v>0</v>
      </c>
      <c r="T14" s="67">
        <f>VLOOKUP(E14,[17]Cumplimiento!$B$6:$P$30,3,FALSE)</f>
        <v>0</v>
      </c>
      <c r="U14" s="42">
        <f>IF(E14="","",IFERROR(P14/(SUM(P14,Q14,R14)),"-"))</f>
        <v>0</v>
      </c>
      <c r="V14" s="42">
        <f>IF(E14="","",IFERROR(Q14/(SUM(P14,Q14,R14)),"-"))</f>
        <v>0.75</v>
      </c>
      <c r="W14" s="42">
        <f>IF(E14="","",IFERROR(R14/(SUM(P14,Q14,R14)),"-"))</f>
        <v>0.25</v>
      </c>
      <c r="X14" s="45">
        <f>IF(E14="","",IFERROR(T14/K14,"-"))</f>
        <v>0</v>
      </c>
      <c r="AA14" s="29" t="s">
        <v>209</v>
      </c>
      <c r="AD14" s="29" t="e">
        <f>SUM(1/COUNTIF(#REF!,#REF!))</f>
        <v>#REF!</v>
      </c>
      <c r="AI14" s="30">
        <f>SUM(P14:S14)</f>
        <v>4</v>
      </c>
    </row>
    <row r="15" spans="2:35" s="29" customFormat="1" ht="33" customHeight="1">
      <c r="B15" s="50">
        <v>2019</v>
      </c>
      <c r="C15" s="49" t="s">
        <v>47</v>
      </c>
      <c r="D15" s="49" t="s">
        <v>48</v>
      </c>
      <c r="E15" s="46" t="str">
        <f>[18]Cumplimiento!$B$6</f>
        <v>Auditoría Interna Gestión Documental 2019</v>
      </c>
      <c r="F15" s="49" t="s">
        <v>49</v>
      </c>
      <c r="G15" s="39" t="s">
        <v>50</v>
      </c>
      <c r="H15" s="39" t="s">
        <v>51</v>
      </c>
      <c r="I15" s="75">
        <v>43811</v>
      </c>
      <c r="J15" s="53"/>
      <c r="K15" s="43">
        <f>VLOOKUP(E15,[18]Cumplimiento!$B$6:$P$30,2,FALSE)</f>
        <v>7</v>
      </c>
      <c r="L15" s="47" t="str">
        <f>VLOOKUP(E15,[18]Cumplimiento!$B$6:$P$30,5,FALSE)</f>
        <v>SI</v>
      </c>
      <c r="M15" s="67">
        <f>VLOOKUP(E15,[18]Cumplimiento!$B$6:$P$30,6,FALSE)</f>
        <v>3</v>
      </c>
      <c r="N15" s="68">
        <f>VLOOKUP(E15,[18]Cumplimiento!$B$6:$P$30,4,FALSE)</f>
        <v>45260</v>
      </c>
      <c r="O15" s="67">
        <f>VLOOKUP(E15,[18]Cumplimiento!$B$6:$P$30,7,FALSE)</f>
        <v>16</v>
      </c>
      <c r="P15" s="70">
        <f>VLOOKUP(E15,[18]Cumplimiento!$B$6:$P$30,8,FALSE)</f>
        <v>5</v>
      </c>
      <c r="Q15" s="71">
        <f>VLOOKUP(E15,[18]Cumplimiento!$B$6:$P$10,9,FALSE)</f>
        <v>6</v>
      </c>
      <c r="R15" s="71">
        <f>VLOOKUP(E15,[18]Cumplimiento!$B$6:$P$10,10,FALSE)</f>
        <v>5</v>
      </c>
      <c r="S15" s="72">
        <f>VLOOKUP(E15,[18]Cumplimiento!$B$6:$P$10,11,FALSE)</f>
        <v>0</v>
      </c>
      <c r="T15" s="67">
        <f>VLOOKUP(E15,[18]Cumplimiento!$B$6:$P$10,3,FALSE)</f>
        <v>2</v>
      </c>
      <c r="U15" s="42">
        <f>IF(E15="","",IFERROR(P15/(SUM(P15,Q15,R15)),"-"))</f>
        <v>0.3125</v>
      </c>
      <c r="V15" s="42">
        <f>IF(E15="","",IFERROR(Q15/(SUM(P15,Q15,R15)),"-"))</f>
        <v>0.375</v>
      </c>
      <c r="W15" s="42">
        <f>IF(E15="","",IFERROR(R15/(SUM(P15,Q15,R15)),"-"))</f>
        <v>0.3125</v>
      </c>
      <c r="X15" s="45">
        <f>IF(E15="","",IFERROR(T15/K15,"-"))</f>
        <v>0.2857142857142857</v>
      </c>
      <c r="AA15" s="29" t="s">
        <v>209</v>
      </c>
      <c r="AD15" s="29" t="e">
        <f>SUM(1/COUNTIF(#REF!,#REF!))</f>
        <v>#REF!</v>
      </c>
      <c r="AI15" s="30">
        <f>SUM(P15:S15)</f>
        <v>16</v>
      </c>
    </row>
    <row r="16" spans="2:35" ht="33" customHeight="1">
      <c r="B16" s="50">
        <v>2019</v>
      </c>
      <c r="C16" s="49" t="s">
        <v>26</v>
      </c>
      <c r="D16" s="39" t="s">
        <v>27</v>
      </c>
      <c r="E16" s="39" t="str">
        <f>[19]Cumplimiento!$B$7</f>
        <v>Auditoría Interna Proceso Atención Ambulatoria 2019</v>
      </c>
      <c r="F16" s="39" t="s">
        <v>15</v>
      </c>
      <c r="G16" s="39" t="s">
        <v>11</v>
      </c>
      <c r="H16" s="39" t="s">
        <v>28</v>
      </c>
      <c r="I16" s="75">
        <v>43818</v>
      </c>
      <c r="J16" s="53"/>
      <c r="K16" s="8">
        <f>VLOOKUP(E16,[19]Cumplimiento!$B$7:$R$30,3,FALSE)</f>
        <v>6</v>
      </c>
      <c r="L16" s="6" t="str">
        <f>VLOOKUP(E16,[19]Cumplimiento!$B$7:$R$30,6,FALSE)</f>
        <v>SI</v>
      </c>
      <c r="M16" s="8">
        <f>VLOOKUP(E16,[19]Cumplimiento!$B$7:$R$30,7,FALSE)</f>
        <v>3</v>
      </c>
      <c r="N16" s="9">
        <f>VLOOKUP(E16,[19]Cumplimiento!$B$7:$R$30,5,FALSE)</f>
        <v>45232</v>
      </c>
      <c r="O16" s="6">
        <f>VLOOKUP(E16,[19]Cumplimiento!$B$7:$R$30,8,FALSE)</f>
        <v>6</v>
      </c>
      <c r="P16" s="115">
        <f>VLOOKUP(E16,[19]Cumplimiento!$B$7:$R$30,9,FALSE)</f>
        <v>4</v>
      </c>
      <c r="Q16" s="116">
        <f>VLOOKUP(E16,[19]Cumplimiento!$B$7:$R$30,11,FALSE)</f>
        <v>1</v>
      </c>
      <c r="R16" s="116">
        <f>VLOOKUP(E16,[19]Cumplimiento!$B$7:$R$30,13,FALSE)</f>
        <v>1</v>
      </c>
      <c r="S16" s="117">
        <f>VLOOKUP(E16,[19]Cumplimiento!$B$7:$R$30,15,FALSE)</f>
        <v>0</v>
      </c>
      <c r="T16" s="14">
        <f>VLOOKUP(E16,[19]Cumplimiento!$B$7:$R$30,16,FALSE)</f>
        <v>4</v>
      </c>
      <c r="U16" s="42">
        <f t="shared" si="2"/>
        <v>0.66666666666666663</v>
      </c>
      <c r="V16" s="42">
        <f t="shared" si="3"/>
        <v>0.16666666666666666</v>
      </c>
      <c r="W16" s="42">
        <f t="shared" si="4"/>
        <v>0.16666666666666666</v>
      </c>
      <c r="X16" s="45">
        <f t="shared" si="0"/>
        <v>0.66666666666666663</v>
      </c>
      <c r="Z16" s="29" t="e">
        <f>SUM(--(FREQUENCY(IF('[16]PM Atención Ambulatoria'!B9:B100=E16,MATCH('[16]PM Atención Ambulatoria'!E9:E100,'[16]PM Atención Ambulatoria'!E9:E100,0)),ROW('[16]PM Atención Ambulatoria'!E9:E100)-ROW('[16]PM Atención Ambulatoria'!E9)+1)&gt;0))</f>
        <v>#VALUE!</v>
      </c>
      <c r="AA16" s="29" t="e">
        <f>IF(E16="","",COUNTIFS('[16]PM Atención Ambulatoria'!B:B,E16,'[16]PM Atención Ambulatoria'!I:I,"&lt;&gt;"))</f>
        <v>#VALUE!</v>
      </c>
      <c r="AB16" s="29">
        <f>SUM(IFERROR(1/COUNTIF('[16]PM Atención Ambulatoria'!E:E,'[16]PM Atención Ambulatoria'!E:E),0))</f>
        <v>0</v>
      </c>
      <c r="AE16" s="33" t="s">
        <v>217</v>
      </c>
      <c r="AI16" s="55">
        <f t="shared" si="1"/>
        <v>6</v>
      </c>
    </row>
    <row r="17" spans="2:35" s="29" customFormat="1" ht="33" customHeight="1">
      <c r="B17" s="50">
        <v>2019</v>
      </c>
      <c r="C17" s="49" t="s">
        <v>29</v>
      </c>
      <c r="D17" s="39" t="s">
        <v>30</v>
      </c>
      <c r="E17" s="48" t="str">
        <f>[20]Cumplimiento!$B$6</f>
        <v>Auditoria Interna Atención en Promoción y Prevención 2019</v>
      </c>
      <c r="F17" s="39" t="s">
        <v>15</v>
      </c>
      <c r="G17" s="39" t="s">
        <v>11</v>
      </c>
      <c r="H17" s="39" t="s">
        <v>31</v>
      </c>
      <c r="I17" s="75">
        <v>43818</v>
      </c>
      <c r="J17" s="53"/>
      <c r="K17" s="8">
        <f>VLOOKUP(E17,[20]Cumplimiento!$B$6:$P$30,2,FALSE)</f>
        <v>6</v>
      </c>
      <c r="L17" s="6" t="str">
        <f>VLOOKUP(E17,[20]Cumplimiento!$B$6:$P$30,5,FALSE)</f>
        <v>SI</v>
      </c>
      <c r="M17" s="8">
        <f>VLOOKUP(E17,[20]Cumplimiento!$B$6:$P$30,6,FALSE)</f>
        <v>1</v>
      </c>
      <c r="N17" s="9">
        <f>VLOOKUP(E17,[20]Cumplimiento!$B$6:$P$30,4,FALSE)</f>
        <v>45237</v>
      </c>
      <c r="O17" s="6">
        <f>VLOOKUP(E17,[20]Cumplimiento!$B$6:$P$30,7,FALSE)</f>
        <v>8</v>
      </c>
      <c r="P17" s="115">
        <f>VLOOKUP(E17,[20]Cumplimiento!$B$6:$P$30,8,FALSE)</f>
        <v>0</v>
      </c>
      <c r="Q17" s="116">
        <f>VLOOKUP(E17,[20]Cumplimiento!$B$6:$P$10,9,FALSE)</f>
        <v>1</v>
      </c>
      <c r="R17" s="116">
        <f>VLOOKUP(E17,[20]Cumplimiento!$B$6:$P$10,10,FALSE)</f>
        <v>7</v>
      </c>
      <c r="S17" s="117">
        <f>VLOOKUP(E17,[20]Cumplimiento!$B$6:$P$10,11,FALSE)</f>
        <v>0</v>
      </c>
      <c r="T17" s="14">
        <f>VLOOKUP(E17,[20]Cumplimiento!$B$6:$P$10,3,FALSE)</f>
        <v>0</v>
      </c>
      <c r="U17" s="42">
        <f t="shared" si="2"/>
        <v>0</v>
      </c>
      <c r="V17" s="42">
        <f t="shared" si="3"/>
        <v>0.125</v>
      </c>
      <c r="W17" s="42">
        <f t="shared" si="4"/>
        <v>0.875</v>
      </c>
      <c r="X17" s="45">
        <f t="shared" si="0"/>
        <v>0</v>
      </c>
      <c r="AB17" s="29">
        <f ca="1">COUNT(1/FREQUENCY(IF('[16]PM Atención Ambulatoria'!B9:B1000=E16,IF('[16]PM Atención Ambulatoria'!B9:B1000&gt;=1,MATCH('[16]PM Atención Ambulatoria'!E9:E1000,'[16]PM Atención Ambulatoria'!E9:E1000,0))),ROW('[16]PM Atención Ambulatoria'!B9:B1000)-ROW(OFFSET('[16]PM Atención Ambulatoria'!B9:B1000,,,1,))+1))</f>
        <v>0</v>
      </c>
      <c r="AI17" s="30">
        <f t="shared" si="1"/>
        <v>8</v>
      </c>
    </row>
    <row r="18" spans="2:35" s="29" customFormat="1" ht="33" customHeight="1">
      <c r="B18" s="50">
        <v>2020</v>
      </c>
      <c r="C18" s="49" t="s">
        <v>13</v>
      </c>
      <c r="D18" s="39" t="s">
        <v>60</v>
      </c>
      <c r="E18" s="39" t="str">
        <f>[11]Cumplimiento!$B$7</f>
        <v>Auditoria Interna Proceso Atención en Urgencias 2020</v>
      </c>
      <c r="F18" s="39" t="s">
        <v>15</v>
      </c>
      <c r="G18" s="39" t="s">
        <v>11</v>
      </c>
      <c r="H18" s="39" t="s">
        <v>16</v>
      </c>
      <c r="I18" s="75">
        <v>43927</v>
      </c>
      <c r="J18" s="53"/>
      <c r="K18" s="43">
        <f>VLOOKUP(E18,[11]Cumplimiento!$B$6:$P$30,2,FALSE)</f>
        <v>7</v>
      </c>
      <c r="L18" s="6" t="str">
        <f>VLOOKUP(E18,[11]Cumplimiento!$B$6:$P$30,5,FALSE)</f>
        <v>SI</v>
      </c>
      <c r="M18" s="8">
        <f>VLOOKUP(E18,[11]Cumplimiento!$B$6:$P$30,6,FALSE)</f>
        <v>1</v>
      </c>
      <c r="N18" s="9">
        <f>VLOOKUP(E18,[11]Cumplimiento!$B$6:$P$30,4,FALSE)</f>
        <v>44748</v>
      </c>
      <c r="O18" s="6">
        <f>VLOOKUP(E18,[11]Cumplimiento!$B$6:$P$30,7,FALSE)</f>
        <v>6</v>
      </c>
      <c r="P18" s="115">
        <f>VLOOKUP(E18,[11]Cumplimiento!$B$6:$P$30,8,FALSE)</f>
        <v>2</v>
      </c>
      <c r="Q18" s="116">
        <f>VLOOKUP(E18,[11]Cumplimiento!$B$6:$P$25,9,FALSE)</f>
        <v>3</v>
      </c>
      <c r="R18" s="116">
        <f>VLOOKUP(E18,[11]Cumplimiento!$B$6:$P$25,10,FALSE)</f>
        <v>1</v>
      </c>
      <c r="S18" s="117">
        <f>VLOOKUP(E18,[11]Cumplimiento!$B$6:$P$25,11,FALSE)</f>
        <v>0</v>
      </c>
      <c r="T18" s="14">
        <f>VLOOKUP(E18,[11]Cumplimiento!$B$6:$P$25,3,FALSE)</f>
        <v>2</v>
      </c>
      <c r="U18" s="42">
        <f>IF(E18="","",IFERROR(P18/(SUM(P18,Q18,R18)),"-"))</f>
        <v>0.33333333333333331</v>
      </c>
      <c r="V18" s="42">
        <f>IF(E18="","",IFERROR(Q18/(SUM(P18,Q18,R18)),"-"))</f>
        <v>0.5</v>
      </c>
      <c r="W18" s="42">
        <f>IF(E18="","",IFERROR(R18/(SUM(P18,Q18,R18)),"-"))</f>
        <v>0.16666666666666666</v>
      </c>
      <c r="X18" s="45">
        <f>IF(E18="","",IFERROR(T18/K18,"-"))</f>
        <v>0.2857142857142857</v>
      </c>
      <c r="AB18" s="29">
        <f ca="1">COUNT(1/FREQUENCY(IF([21]Hoja1!$A$2:$A$18="Dirección Area 1",IF([21]Hoja1!$B$2:$B$18&gt;=1,MATCH([21]Hoja1!$C$2:$C$18,[21]Hoja1!$C$2:$C$18,0))),ROW($A$2:$A$84)-ROW(OFFSET($A$2:$A$84,,,1,))+1))</f>
        <v>0</v>
      </c>
      <c r="AI18" s="30">
        <f>SUM(P18:S18)</f>
        <v>6</v>
      </c>
    </row>
    <row r="19" spans="2:35" s="29" customFormat="1" ht="33" customHeight="1">
      <c r="B19" s="50">
        <v>2020</v>
      </c>
      <c r="C19" s="49" t="s">
        <v>58</v>
      </c>
      <c r="D19" s="39" t="s">
        <v>59</v>
      </c>
      <c r="E19" s="46" t="str">
        <f>[17]Cumplimiento!$B$7</f>
        <v>Auditoría Interna Procedimiento Control del inventario de bienes muebles e inmuebles 2020</v>
      </c>
      <c r="F19" s="39" t="s">
        <v>34</v>
      </c>
      <c r="G19" s="39" t="s">
        <v>40</v>
      </c>
      <c r="H19" s="39" t="s">
        <v>41</v>
      </c>
      <c r="I19" s="178">
        <v>43971</v>
      </c>
      <c r="J19" s="53"/>
      <c r="K19" s="43">
        <f>VLOOKUP(E19,[17]Cumplimiento!$B$6:$P$30,2,FALSE)</f>
        <v>10</v>
      </c>
      <c r="L19" s="47" t="str">
        <f>VLOOKUP(E19,[17]Cumplimiento!$B$6:$P$30,5,FALSE)</f>
        <v>NO</v>
      </c>
      <c r="M19" s="43" t="str">
        <f>VLOOKUP(E19,[17]Cumplimiento!$B$6:$P$30,6,FALSE)</f>
        <v/>
      </c>
      <c r="N19" s="44">
        <f>VLOOKUP(E19,[17]Cumplimiento!$B$6:$P$30,4,FALSE)</f>
        <v>0</v>
      </c>
      <c r="O19" s="67">
        <f>VLOOKUP(E19,[17]Cumplimiento!$B$6:$P$30,7,FALSE)</f>
        <v>0</v>
      </c>
      <c r="P19" s="70">
        <f>VLOOKUP(E19,[17]Cumplimiento!$B$6:$P$30,8,FALSE)</f>
        <v>0</v>
      </c>
      <c r="Q19" s="71">
        <f>VLOOKUP(E19,[17]Cumplimiento!$B$6:$P$30,9,FALSE)</f>
        <v>0</v>
      </c>
      <c r="R19" s="71">
        <f>VLOOKUP(E19,[17]Cumplimiento!$B$6:$P$30,10,FALSE)</f>
        <v>0</v>
      </c>
      <c r="S19" s="72">
        <f>VLOOKUP(E19,[17]Cumplimiento!$B$6:$P$30,11,FALSE)</f>
        <v>0</v>
      </c>
      <c r="T19" s="67">
        <f>VLOOKUP(E19,[17]Cumplimiento!$B$6:$P$30,3,FALSE)</f>
        <v>0</v>
      </c>
      <c r="U19" s="42" t="str">
        <f t="shared" si="2"/>
        <v>-</v>
      </c>
      <c r="V19" s="42" t="str">
        <f t="shared" si="3"/>
        <v>-</v>
      </c>
      <c r="W19" s="42" t="str">
        <f t="shared" si="4"/>
        <v>-</v>
      </c>
      <c r="X19" s="45">
        <f t="shared" si="0"/>
        <v>0</v>
      </c>
      <c r="AA19" s="34" t="e">
        <f>SUM(IF(ISTEXT('[16]PM Atención Ambulatoria'!#REF!),1/COUNTIF('[16]PM Atención Ambulatoria'!#REF!, '[16]PM Atención Ambulatoria'!#REF!),""))</f>
        <v>#VALUE!</v>
      </c>
      <c r="AI19" s="30">
        <f>SUM(P19:S19)</f>
        <v>0</v>
      </c>
    </row>
    <row r="20" spans="2:35" s="29" customFormat="1" ht="33" customHeight="1">
      <c r="B20" s="50">
        <v>2020</v>
      </c>
      <c r="C20" s="49" t="s">
        <v>61</v>
      </c>
      <c r="D20" s="49" t="s">
        <v>62</v>
      </c>
      <c r="E20" s="46" t="str">
        <f>[17]Cumplimiento!$B$8</f>
        <v>Auditoría Interna Contrato de intermediación de Seguros y Riesgos Laborales 2020</v>
      </c>
      <c r="F20" s="49" t="s">
        <v>63</v>
      </c>
      <c r="G20" s="39" t="s">
        <v>40</v>
      </c>
      <c r="H20" s="39" t="s">
        <v>41</v>
      </c>
      <c r="I20" s="178">
        <v>44014</v>
      </c>
      <c r="J20" s="53"/>
      <c r="K20" s="43">
        <f>VLOOKUP(E20,[17]Cumplimiento!$B$6:$P$30,2,FALSE)</f>
        <v>4</v>
      </c>
      <c r="L20" s="47" t="str">
        <f>VLOOKUP(E20,[17]Cumplimiento!$B$6:$P$30,5,FALSE)</f>
        <v>NO</v>
      </c>
      <c r="M20" s="43" t="str">
        <f>VLOOKUP(E20,[17]Cumplimiento!$B$6:$P$30,6,FALSE)</f>
        <v/>
      </c>
      <c r="N20" s="44">
        <f>VLOOKUP(E20,[17]Cumplimiento!$B$6:$P$30,4,FALSE)</f>
        <v>0</v>
      </c>
      <c r="O20" s="67">
        <f>VLOOKUP(E20,[17]Cumplimiento!$B$6:$P$30,7,FALSE)</f>
        <v>0</v>
      </c>
      <c r="P20" s="70">
        <f>VLOOKUP(E20,[17]Cumplimiento!$B$6:$P$30,8,FALSE)</f>
        <v>0</v>
      </c>
      <c r="Q20" s="71">
        <f>VLOOKUP(E20,[17]Cumplimiento!$B$6:$P$30,9,FALSE)</f>
        <v>0</v>
      </c>
      <c r="R20" s="71">
        <f>VLOOKUP(E20,[17]Cumplimiento!$B$6:$P$30,10,FALSE)</f>
        <v>0</v>
      </c>
      <c r="S20" s="72">
        <f>VLOOKUP(E20,[17]Cumplimiento!$B$6:$P$30,11,FALSE)</f>
        <v>0</v>
      </c>
      <c r="T20" s="67">
        <f>VLOOKUP(E20,[17]Cumplimiento!$B$6:$P$30,3,FALSE)</f>
        <v>0</v>
      </c>
      <c r="U20" s="42" t="str">
        <f t="shared" si="2"/>
        <v>-</v>
      </c>
      <c r="V20" s="42" t="str">
        <f t="shared" si="3"/>
        <v>-</v>
      </c>
      <c r="W20" s="42" t="str">
        <f t="shared" si="4"/>
        <v>-</v>
      </c>
      <c r="X20" s="45">
        <f t="shared" si="0"/>
        <v>0</v>
      </c>
      <c r="AI20" s="30">
        <f>SUM(P20:S20)</f>
        <v>0</v>
      </c>
    </row>
    <row r="21" spans="2:35" s="29" customFormat="1" ht="33" customHeight="1">
      <c r="B21" s="50">
        <v>2020</v>
      </c>
      <c r="C21" s="49" t="s">
        <v>68</v>
      </c>
      <c r="D21" s="49" t="s">
        <v>69</v>
      </c>
      <c r="E21" s="39" t="str">
        <f>[22]Cumplimiento!$B$6</f>
        <v>Auditoria Interna Proceso Atención en Imágenes Diagnósticas 2020</v>
      </c>
      <c r="F21" s="49" t="s">
        <v>70</v>
      </c>
      <c r="G21" s="39" t="s">
        <v>11</v>
      </c>
      <c r="H21" s="39" t="s">
        <v>71</v>
      </c>
      <c r="I21" s="75">
        <v>44028</v>
      </c>
      <c r="J21" s="53"/>
      <c r="K21" s="8">
        <f>VLOOKUP(E21,[22]Cumplimiento!$B$6:$P$30,2,FALSE)</f>
        <v>4</v>
      </c>
      <c r="L21" s="6" t="str">
        <f>VLOOKUP(E21,[22]Cumplimiento!$B$6:$P$30,5,FALSE)</f>
        <v>SI</v>
      </c>
      <c r="M21" s="8">
        <f>VLOOKUP(E21,[22]Cumplimiento!$B$6:$P$30,6,FALSE)</f>
        <v>3</v>
      </c>
      <c r="N21" s="9">
        <f>VLOOKUP(E21,[22]Cumplimiento!$B$6:$P$30,4,FALSE)</f>
        <v>45229</v>
      </c>
      <c r="O21" s="6">
        <f>VLOOKUP(E21,[22]Cumplimiento!$B$6:$P$30,7,FALSE)</f>
        <v>16</v>
      </c>
      <c r="P21" s="115">
        <f>VLOOKUP(E21,[22]Cumplimiento!$B$6:$P$30,8,FALSE)</f>
        <v>6</v>
      </c>
      <c r="Q21" s="116">
        <f>VLOOKUP(E21,[22]Cumplimiento!$B$6:$P$30,9,FALSE)</f>
        <v>9</v>
      </c>
      <c r="R21" s="116">
        <f>VLOOKUP(E21,[22]Cumplimiento!$B$6:$P$30,10,FALSE)</f>
        <v>1</v>
      </c>
      <c r="S21" s="117">
        <f>VLOOKUP(E21,[22]Cumplimiento!$B$6:$P$30,11,FALSE)</f>
        <v>0</v>
      </c>
      <c r="T21" s="14">
        <f>VLOOKUP(E21,[22]Cumplimiento!$B$6:$P$30,3,FALSE)</f>
        <v>0</v>
      </c>
      <c r="U21" s="42">
        <f>IF(E21="","",IFERROR(P21/(SUM(P21,Q21,R21)),"-"))</f>
        <v>0.375</v>
      </c>
      <c r="V21" s="42">
        <f>IF(E21="","",IFERROR(Q21/(SUM(P21,Q21,R21)),"-"))</f>
        <v>0.5625</v>
      </c>
      <c r="W21" s="42">
        <f>IF(E21="","",IFERROR(R21/(SUM(P21,Q21,R21)),"-"))</f>
        <v>6.25E-2</v>
      </c>
      <c r="X21" s="45">
        <f>IF(E21="","",IFERROR(T21/K21,"-"))</f>
        <v>0</v>
      </c>
      <c r="AI21" s="30">
        <f>SUM(P21:S21)</f>
        <v>16</v>
      </c>
    </row>
    <row r="22" spans="2:35" s="29" customFormat="1" ht="33" customHeight="1">
      <c r="B22" s="50">
        <v>2020</v>
      </c>
      <c r="C22" s="49" t="s">
        <v>64</v>
      </c>
      <c r="D22" s="49" t="s">
        <v>65</v>
      </c>
      <c r="E22" s="39" t="str">
        <f>[23]Cumplimiento!$B$6</f>
        <v>Auditoría Interna Cuadros de turnos, pagos de nómina conductores de ambulancia 2020</v>
      </c>
      <c r="F22" s="49" t="s">
        <v>66</v>
      </c>
      <c r="G22" s="39" t="s">
        <v>82</v>
      </c>
      <c r="H22" s="39" t="s">
        <v>67</v>
      </c>
      <c r="I22" s="75">
        <v>44039</v>
      </c>
      <c r="J22" s="53"/>
      <c r="K22" s="8">
        <f>VLOOKUP(E22,[23]Cumplimiento!$B$6:$P$30,2,FALSE)</f>
        <v>12</v>
      </c>
      <c r="L22" s="6" t="str">
        <f>VLOOKUP(E22,[23]Cumplimiento!$B$6:$P$30,5,FALSE)</f>
        <v>SI</v>
      </c>
      <c r="M22" s="8">
        <f>VLOOKUP(E22,[23]Cumplimiento!$B$6:$P$30,6,FALSE)</f>
        <v>2</v>
      </c>
      <c r="N22" s="9">
        <f>VLOOKUP(E22,[23]Cumplimiento!$B$6:$P$30,4,FALSE)</f>
        <v>44655</v>
      </c>
      <c r="O22" s="6">
        <f>VLOOKUP(E22,[23]Cumplimiento!$B$6:$P$30,7,FALSE)</f>
        <v>4</v>
      </c>
      <c r="P22" s="115">
        <f>VLOOKUP(E22,[23]Cumplimiento!$B$6:$P$30,8,FALSE)</f>
        <v>4</v>
      </c>
      <c r="Q22" s="116">
        <f>VLOOKUP(E22,[23]Cumplimiento!$B$6:$P$30,9,FALSE)</f>
        <v>0</v>
      </c>
      <c r="R22" s="116">
        <f>VLOOKUP(E22,[23]Cumplimiento!$B$6:$P$30,10,FALSE)</f>
        <v>0</v>
      </c>
      <c r="S22" s="117">
        <f>VLOOKUP(E22,[23]Cumplimiento!$B$6:$P$30,11,FALSE)</f>
        <v>0</v>
      </c>
      <c r="T22" s="14">
        <f>VLOOKUP(E22,[23]Cumplimiento!$B$6:$P$30,3,FALSE)</f>
        <v>12</v>
      </c>
      <c r="U22" s="42">
        <f t="shared" si="2"/>
        <v>1</v>
      </c>
      <c r="V22" s="42">
        <f t="shared" si="3"/>
        <v>0</v>
      </c>
      <c r="W22" s="42">
        <f t="shared" si="4"/>
        <v>0</v>
      </c>
      <c r="X22" s="45">
        <f t="shared" si="0"/>
        <v>1</v>
      </c>
    </row>
    <row r="23" spans="2:35" s="29" customFormat="1" ht="33" customHeight="1">
      <c r="B23" s="50">
        <v>2020</v>
      </c>
      <c r="C23" s="49" t="s">
        <v>72</v>
      </c>
      <c r="D23" s="49" t="s">
        <v>190</v>
      </c>
      <c r="E23" s="46" t="str">
        <f>[12]Cumplimiento!$B$9</f>
        <v>Auditoria Interna Proceso Atención en Hospitalización - Gestión de Camas 2020</v>
      </c>
      <c r="F23" s="49" t="s">
        <v>15</v>
      </c>
      <c r="G23" s="39" t="s">
        <v>11</v>
      </c>
      <c r="H23" s="39" t="s">
        <v>19</v>
      </c>
      <c r="I23" s="75">
        <v>44081</v>
      </c>
      <c r="J23" s="53"/>
      <c r="K23" s="43">
        <f>VLOOKUP(E23,[12]Cumplimiento!$B$7:$R$30,3,FALSE)</f>
        <v>1</v>
      </c>
      <c r="L23" s="6" t="str">
        <f>VLOOKUP(E23,[12]Cumplimiento!$B$7:$R$30,6,FALSE)</f>
        <v>NO</v>
      </c>
      <c r="M23" s="8" t="str">
        <f>VLOOKUP(E23,[12]Cumplimiento!$B$7:$R$30,7,FALSE)</f>
        <v/>
      </c>
      <c r="N23" s="9">
        <f>VLOOKUP(E23,[12]Cumplimiento!$B$7:$R$30,5,FALSE)</f>
        <v>0</v>
      </c>
      <c r="O23" s="6">
        <f>VLOOKUP(E23,[12]Cumplimiento!$B$7:$R$30,8,FALSE)</f>
        <v>0</v>
      </c>
      <c r="P23" s="115">
        <f>VLOOKUP(E23,[12]Cumplimiento!$B$7:$R$30,9,FALSE)</f>
        <v>0</v>
      </c>
      <c r="Q23" s="116">
        <f>VLOOKUP(E23,[12]Cumplimiento!$B$7:$R$30,11,FALSE)</f>
        <v>0</v>
      </c>
      <c r="R23" s="116">
        <f>VLOOKUP(E23,[12]Cumplimiento!$B$7:$R$30,13,FALSE)</f>
        <v>0</v>
      </c>
      <c r="S23" s="117">
        <f>VLOOKUP(E23,[12]Cumplimiento!$B$7:$R$30,15,FALSE)</f>
        <v>0</v>
      </c>
      <c r="T23" s="14">
        <f>VLOOKUP(E23,[12]Cumplimiento!$B$7:$R$30,16,FALSE)</f>
        <v>0</v>
      </c>
      <c r="U23" s="42" t="str">
        <f t="shared" si="2"/>
        <v>-</v>
      </c>
      <c r="V23" s="42" t="str">
        <f t="shared" si="3"/>
        <v>-</v>
      </c>
      <c r="W23" s="42" t="str">
        <f t="shared" si="4"/>
        <v>-</v>
      </c>
      <c r="X23" s="45">
        <f t="shared" si="0"/>
        <v>0</v>
      </c>
      <c r="AA23" s="29" t="e">
        <f t="array" ref="AA23">SUMPRODUCT((('[16]PM Atención Ambulatoria'!#REF!=#REF!))/COUNTIFS('[16]PM Atención Ambulatoria'!#REF!,'[16]PM Atención Ambulatoria'!#REF!&amp;"",'[16]PM Atención Ambulatoria'!#REF!,'[16]PM Atención Ambulatoria'!#REF!&amp;""))</f>
        <v>#REF!</v>
      </c>
      <c r="AI23" s="30">
        <f t="shared" ref="AI23:AI33" si="5">SUM(P23:S23)</f>
        <v>0</v>
      </c>
    </row>
    <row r="24" spans="2:35" s="29" customFormat="1" ht="33" customHeight="1" thickBot="1">
      <c r="B24" s="50">
        <v>2020</v>
      </c>
      <c r="C24" s="49" t="s">
        <v>80</v>
      </c>
      <c r="D24" s="49" t="s">
        <v>81</v>
      </c>
      <c r="E24" s="46" t="str">
        <f>[23]Cumplimiento!$B$7</f>
        <v>Auditoría Interna Programa de Vivienda de la ESE Metrosalud 2020</v>
      </c>
      <c r="F24" s="49" t="s">
        <v>34</v>
      </c>
      <c r="G24" s="39" t="s">
        <v>82</v>
      </c>
      <c r="H24" s="39" t="s">
        <v>67</v>
      </c>
      <c r="I24" s="75">
        <v>44085</v>
      </c>
      <c r="J24" s="53"/>
      <c r="K24" s="8">
        <f>VLOOKUP(E24,[23]Cumplimiento!$B$6:$P$30,2,FALSE)</f>
        <v>12</v>
      </c>
      <c r="L24" s="6" t="str">
        <f>VLOOKUP(E24,[23]Cumplimiento!$B$6:$P$30,5,FALSE)</f>
        <v>SI</v>
      </c>
      <c r="M24" s="8">
        <f>VLOOKUP(E24,[23]Cumplimiento!$B$6:$P$30,6,FALSE)</f>
        <v>1</v>
      </c>
      <c r="N24" s="9">
        <f>VLOOKUP(E24,[23]Cumplimiento!$B$6:$P$30,4,FALSE)</f>
        <v>44720</v>
      </c>
      <c r="O24" s="6">
        <f>VLOOKUP(E24,[23]Cumplimiento!$B$6:$P$30,7,FALSE)</f>
        <v>14</v>
      </c>
      <c r="P24" s="115">
        <f>VLOOKUP(E24,[23]Cumplimiento!$B$6:$P$30,8,FALSE)</f>
        <v>0</v>
      </c>
      <c r="Q24" s="116">
        <f>VLOOKUP(E24,[23]Cumplimiento!$B$6:$P$30,9,FALSE)</f>
        <v>5</v>
      </c>
      <c r="R24" s="116">
        <f>VLOOKUP(E24,[23]Cumplimiento!$B$6:$P$30,10,FALSE)</f>
        <v>9</v>
      </c>
      <c r="S24" s="117">
        <f>VLOOKUP(E24,[23]Cumplimiento!$B$6:$P$30,11,FALSE)</f>
        <v>0</v>
      </c>
      <c r="T24" s="14">
        <f>VLOOKUP(E24,[23]Cumplimiento!$B$6:$P$30,3,FALSE)</f>
        <v>0</v>
      </c>
      <c r="U24" s="42">
        <f t="shared" ref="U24:U32" si="6">IF(E24="","",IFERROR(P24/(SUM(P24,Q24,R24)),"-"))</f>
        <v>0</v>
      </c>
      <c r="V24" s="42">
        <f t="shared" ref="V24:V32" si="7">IF(E24="","",IFERROR(Q24/(SUM(P24,Q24,R24)),"-"))</f>
        <v>0.35714285714285715</v>
      </c>
      <c r="W24" s="42">
        <f t="shared" ref="W24:W32" si="8">IF(E24="","",IFERROR(R24/(SUM(P24,Q24,R24)),"-"))</f>
        <v>0.6428571428571429</v>
      </c>
      <c r="X24" s="45">
        <f t="shared" ref="X24:X32" si="9">IF(E24="","",IFERROR(T24/K24,"-"))</f>
        <v>0</v>
      </c>
      <c r="AI24" s="30">
        <f>SUM(P24:S24)</f>
        <v>14</v>
      </c>
    </row>
    <row r="25" spans="2:35" s="29" customFormat="1" ht="33" customHeight="1" thickBot="1">
      <c r="B25" s="50">
        <v>2020</v>
      </c>
      <c r="C25" s="49" t="s">
        <v>29</v>
      </c>
      <c r="D25" s="49" t="s">
        <v>74</v>
      </c>
      <c r="E25" s="48" t="str">
        <f>[20]Cumplimiento!$B$7</f>
        <v>Auditoria Interna Atención en Promoción y Prevención 2020</v>
      </c>
      <c r="F25" s="49" t="s">
        <v>10</v>
      </c>
      <c r="G25" s="39" t="s">
        <v>11</v>
      </c>
      <c r="H25" s="39" t="s">
        <v>31</v>
      </c>
      <c r="I25" s="75">
        <v>44098</v>
      </c>
      <c r="J25" s="53"/>
      <c r="K25" s="8">
        <f>VLOOKUP(E25,[20]Cumplimiento!$B$6:$P$30,2,FALSE)</f>
        <v>4</v>
      </c>
      <c r="L25" s="6" t="str">
        <f>VLOOKUP(E25,[20]Cumplimiento!$B$6:$P$30,5,FALSE)</f>
        <v>NO</v>
      </c>
      <c r="M25" s="8" t="str">
        <f>VLOOKUP(E25,[20]Cumplimiento!$B$6:$P$30,6,FALSE)</f>
        <v/>
      </c>
      <c r="N25" s="9">
        <f>VLOOKUP(E25,[20]Cumplimiento!$B$6:$P$30,4,FALSE)</f>
        <v>0</v>
      </c>
      <c r="O25" s="6">
        <f>VLOOKUP(E25,[20]Cumplimiento!$B$6:$P$30,7,FALSE)</f>
        <v>0</v>
      </c>
      <c r="P25" s="115">
        <f>VLOOKUP(E25,[20]Cumplimiento!$B$6:$P$30,8,FALSE)</f>
        <v>0</v>
      </c>
      <c r="Q25" s="116">
        <f>VLOOKUP(E25,[20]Cumplimiento!$B$6:$P$10,9,FALSE)</f>
        <v>0</v>
      </c>
      <c r="R25" s="116">
        <f>VLOOKUP(E25,[20]Cumplimiento!$B$6:$P$10,10,FALSE)</f>
        <v>0</v>
      </c>
      <c r="S25" s="117">
        <f>VLOOKUP(E25,[20]Cumplimiento!$B$6:$P$10,11,FALSE)</f>
        <v>0</v>
      </c>
      <c r="T25" s="14">
        <f>VLOOKUP(E25,[20]Cumplimiento!$B$6:$P$10,3,FALSE)</f>
        <v>0</v>
      </c>
      <c r="U25" s="42" t="str">
        <f t="shared" si="6"/>
        <v>-</v>
      </c>
      <c r="V25" s="42" t="str">
        <f t="shared" si="7"/>
        <v>-</v>
      </c>
      <c r="W25" s="42" t="str">
        <f t="shared" si="8"/>
        <v>-</v>
      </c>
      <c r="X25" s="45">
        <f t="shared" si="9"/>
        <v>0</v>
      </c>
      <c r="AA25" s="35" t="e">
        <f>SUMPRODUCT(--(FREQUENCY(IF(E2:E4=1,IF(M2:M4=202112,A2:A4),FALSE),A2:A4)&gt;0))</f>
        <v>#VALUE!</v>
      </c>
      <c r="AB25" s="35" t="e">
        <f>SUMPRODUCT(--(FREQUENCY(IF('[16]PM Atención Ambulatoria'!B:B=E16,IF('[16]PM Atención Ambulatoria'!E:E=202112,'[16]PM Atención Ambulatoria'!E:E),FALSE),A2:A4)&gt;0))</f>
        <v>#VALUE!</v>
      </c>
      <c r="AI25" s="30">
        <f>SUM(P25:S25)</f>
        <v>0</v>
      </c>
    </row>
    <row r="26" spans="2:35" s="29" customFormat="1" ht="33" customHeight="1">
      <c r="B26" s="50">
        <v>2020</v>
      </c>
      <c r="C26" s="49" t="s">
        <v>20</v>
      </c>
      <c r="D26" s="49" t="s">
        <v>75</v>
      </c>
      <c r="E26" s="48" t="str">
        <f>[13]Cumplimiento!$B$7</f>
        <v>Auditoría Interna Proceso Atención Integral Farmacéutica 2020</v>
      </c>
      <c r="F26" s="49" t="s">
        <v>70</v>
      </c>
      <c r="G26" s="39" t="s">
        <v>11</v>
      </c>
      <c r="H26" s="39" t="s">
        <v>22</v>
      </c>
      <c r="I26" s="75">
        <v>44124</v>
      </c>
      <c r="J26" s="53"/>
      <c r="K26" s="8">
        <f>VLOOKUP(E26,[13]Cumplimiento!$B$6:$P$30,2,FALSE)</f>
        <v>4</v>
      </c>
      <c r="L26" s="6" t="str">
        <f>VLOOKUP(E26,[13]Cumplimiento!$B$6:$P$30,5,FALSE)</f>
        <v>SI</v>
      </c>
      <c r="M26" s="8">
        <f>VLOOKUP(E26,[13]Cumplimiento!$B$6:$P$30,6,FALSE)</f>
        <v>2</v>
      </c>
      <c r="N26" s="9">
        <f>VLOOKUP(E26,[13]Cumplimiento!$B$6:$P$30,4,FALSE)</f>
        <v>45226</v>
      </c>
      <c r="O26" s="6">
        <f>VLOOKUP(E26,[13]Cumplimiento!$B$6:$P$30,7,FALSE)</f>
        <v>5</v>
      </c>
      <c r="P26" s="115">
        <f>VLOOKUP(E26,[13]Cumplimiento!$B$6:$P$30,8,FALSE)</f>
        <v>0</v>
      </c>
      <c r="Q26" s="116">
        <f>VLOOKUP(E26,[13]Cumplimiento!$B$6:$P$30,9,FALSE)</f>
        <v>4</v>
      </c>
      <c r="R26" s="116">
        <f>VLOOKUP(E26,[13]Cumplimiento!$B$6:$P$30,10,FALSE)</f>
        <v>1</v>
      </c>
      <c r="S26" s="117">
        <f>VLOOKUP(E26,[13]Cumplimiento!$B$6:$P$30,11,FALSE)</f>
        <v>0</v>
      </c>
      <c r="T26" s="14">
        <f>VLOOKUP(E26,[13]Cumplimiento!$B$6:$P$30,3,FALSE)</f>
        <v>0</v>
      </c>
      <c r="U26" s="42">
        <f t="shared" si="6"/>
        <v>0</v>
      </c>
      <c r="V26" s="42">
        <f t="shared" si="7"/>
        <v>0.8</v>
      </c>
      <c r="W26" s="42">
        <f t="shared" si="8"/>
        <v>0.2</v>
      </c>
      <c r="X26" s="45">
        <f t="shared" si="9"/>
        <v>0</v>
      </c>
      <c r="AA26" s="36" t="s">
        <v>235</v>
      </c>
      <c r="AI26" s="30">
        <f>SUM(P26:S26)</f>
        <v>5</v>
      </c>
    </row>
    <row r="27" spans="2:35" s="29" customFormat="1" ht="33" customHeight="1">
      <c r="B27" s="50">
        <v>2020</v>
      </c>
      <c r="C27" s="49" t="s">
        <v>42</v>
      </c>
      <c r="D27" s="49" t="s">
        <v>77</v>
      </c>
      <c r="E27" s="39" t="str">
        <f>[10]Cumplimiento!$B$7</f>
        <v>Auditoría Interna Proceso Gestión Venta de Servicios 2020</v>
      </c>
      <c r="F27" s="49" t="s">
        <v>34</v>
      </c>
      <c r="G27" s="39" t="s">
        <v>45</v>
      </c>
      <c r="H27" s="39" t="s">
        <v>46</v>
      </c>
      <c r="I27" s="10">
        <v>44124</v>
      </c>
      <c r="J27" s="53"/>
      <c r="K27" s="43">
        <f>VLOOKUP(E27,[10]Cumplimiento!$B$6:$P$30,2,FALSE)</f>
        <v>6</v>
      </c>
      <c r="L27" s="47" t="str">
        <f>VLOOKUP(E27,[10]Cumplimiento!$B$6:$P$30,5,FALSE)</f>
        <v>NO</v>
      </c>
      <c r="M27" s="43" t="str">
        <f>VLOOKUP(E27,[10]Cumplimiento!$B$6:$P$30,6,FALSE)</f>
        <v/>
      </c>
      <c r="N27" s="44">
        <f>VLOOKUP(E27,[10]Cumplimiento!$B$6:$P$30,4,FALSE)</f>
        <v>0</v>
      </c>
      <c r="O27" s="67">
        <f>VLOOKUP(E27,[10]Cumplimiento!$B$6:$P$30,7,FALSE)</f>
        <v>0</v>
      </c>
      <c r="P27" s="70">
        <f>VLOOKUP(E27,[10]Cumplimiento!$B$6:$P$30,8,FALSE)</f>
        <v>0</v>
      </c>
      <c r="Q27" s="71">
        <f>VLOOKUP(E27,[10]Cumplimiento!$B$6:$P$30,9,FALSE)</f>
        <v>0</v>
      </c>
      <c r="R27" s="71">
        <f>VLOOKUP(E27,[10]Cumplimiento!$B$6:$P$30,10,FALSE)</f>
        <v>0</v>
      </c>
      <c r="S27" s="72">
        <f>VLOOKUP(E27,[10]Cumplimiento!$B$6:$P$30,11,FALSE)</f>
        <v>0</v>
      </c>
      <c r="T27" s="67">
        <f>VLOOKUP(E27,[10]Cumplimiento!$B$6:$P$30,3,FALSE)</f>
        <v>0</v>
      </c>
      <c r="U27" s="42" t="str">
        <f t="shared" si="6"/>
        <v>-</v>
      </c>
      <c r="V27" s="42" t="str">
        <f t="shared" si="7"/>
        <v>-</v>
      </c>
      <c r="W27" s="42" t="str">
        <f t="shared" si="8"/>
        <v>-</v>
      </c>
      <c r="X27" s="45">
        <f t="shared" si="9"/>
        <v>0</v>
      </c>
      <c r="AI27" s="30">
        <f>SUM(P27:S27)</f>
        <v>0</v>
      </c>
    </row>
    <row r="28" spans="2:35" s="29" customFormat="1" ht="33" customHeight="1">
      <c r="B28" s="50">
        <v>2020</v>
      </c>
      <c r="C28" s="49" t="s">
        <v>78</v>
      </c>
      <c r="D28" s="49" t="s">
        <v>79</v>
      </c>
      <c r="E28" s="46" t="str">
        <f>[10]Cumplimiento!$B$8</f>
        <v>Auditoría Interna Supervisión de contratos 2020</v>
      </c>
      <c r="F28" s="49" t="s">
        <v>34</v>
      </c>
      <c r="G28" s="39" t="s">
        <v>45</v>
      </c>
      <c r="H28" s="39" t="s">
        <v>46</v>
      </c>
      <c r="I28" s="10">
        <v>44124</v>
      </c>
      <c r="J28" s="53"/>
      <c r="K28" s="43">
        <f>VLOOKUP(E28,[10]Cumplimiento!$B$6:$P$30,2,FALSE)</f>
        <v>2</v>
      </c>
      <c r="L28" s="47" t="str">
        <f>VLOOKUP(E28,[10]Cumplimiento!$B$6:$P$30,5,FALSE)</f>
        <v>NO</v>
      </c>
      <c r="M28" s="43" t="str">
        <f>VLOOKUP(E28,[10]Cumplimiento!$B$6:$P$30,6,FALSE)</f>
        <v/>
      </c>
      <c r="N28" s="44">
        <f>VLOOKUP(E28,[10]Cumplimiento!$B$6:$P$30,4,FALSE)</f>
        <v>0</v>
      </c>
      <c r="O28" s="67">
        <f>VLOOKUP(E28,[10]Cumplimiento!$B$6:$P$30,7,FALSE)</f>
        <v>0</v>
      </c>
      <c r="P28" s="70">
        <f>VLOOKUP(E28,[10]Cumplimiento!$B$6:$P$30,8,FALSE)</f>
        <v>0</v>
      </c>
      <c r="Q28" s="71">
        <f>VLOOKUP(E28,[10]Cumplimiento!$B$6:$P$30,9,FALSE)</f>
        <v>0</v>
      </c>
      <c r="R28" s="71">
        <f>VLOOKUP(E28,[10]Cumplimiento!$B$6:$P$30,10,FALSE)</f>
        <v>0</v>
      </c>
      <c r="S28" s="72">
        <f>VLOOKUP(E28,[10]Cumplimiento!$B$6:$P$30,11,FALSE)</f>
        <v>0</v>
      </c>
      <c r="T28" s="67">
        <f>VLOOKUP(E28,[10]Cumplimiento!$B$6:$P$30,3,FALSE)</f>
        <v>0</v>
      </c>
      <c r="U28" s="42" t="str">
        <f t="shared" si="6"/>
        <v>-</v>
      </c>
      <c r="V28" s="42" t="str">
        <f t="shared" si="7"/>
        <v>-</v>
      </c>
      <c r="W28" s="42" t="str">
        <f t="shared" si="8"/>
        <v>-</v>
      </c>
      <c r="X28" s="45">
        <f t="shared" si="9"/>
        <v>0</v>
      </c>
      <c r="AA28" s="29" t="s">
        <v>209</v>
      </c>
      <c r="AD28" s="29" t="e">
        <f>SUM(1/COUNTIF(E2:E16,E2:E16))</f>
        <v>#DIV/0!</v>
      </c>
    </row>
    <row r="29" spans="2:35" s="29" customFormat="1" ht="33" customHeight="1">
      <c r="B29" s="50">
        <v>2020</v>
      </c>
      <c r="C29" s="49" t="s">
        <v>9</v>
      </c>
      <c r="D29" s="49" t="s">
        <v>76</v>
      </c>
      <c r="E29" s="46" t="str">
        <f>[9]Cumplimiento!$B$7</f>
        <v>Auditoría Interna Proceso Atención Quirúrgica 2020</v>
      </c>
      <c r="F29" s="49" t="s">
        <v>10</v>
      </c>
      <c r="G29" s="39" t="s">
        <v>11</v>
      </c>
      <c r="H29" s="39" t="s">
        <v>12</v>
      </c>
      <c r="I29" s="75">
        <v>44133</v>
      </c>
      <c r="J29" s="53"/>
      <c r="K29" s="43">
        <f>VLOOKUP(E29,[9]Cumplimiento!$B$6:$P$30,2,FALSE)</f>
        <v>4</v>
      </c>
      <c r="L29" s="47" t="str">
        <f>VLOOKUP(E29,[9]Cumplimiento!$B$6:$P$30,5,FALSE)</f>
        <v>SI</v>
      </c>
      <c r="M29" s="67">
        <f>VLOOKUP(E29,[9]Cumplimiento!$B$6:$P$30,6,FALSE)</f>
        <v>1</v>
      </c>
      <c r="N29" s="44">
        <f>VLOOKUP(E29,[9]Cumplimiento!$B$6:$P$30,4,FALSE)</f>
        <v>45231</v>
      </c>
      <c r="O29" s="67">
        <f>VLOOKUP(E29,[9]Cumplimiento!$B$6:$P$30,7,FALSE)</f>
        <v>4</v>
      </c>
      <c r="P29" s="70">
        <f>VLOOKUP(E29,[9]Cumplimiento!$B$6:$P$30,8,FALSE)</f>
        <v>0</v>
      </c>
      <c r="Q29" s="71">
        <f>VLOOKUP(E29,[9]Cumplimiento!$B$6:$P$25,9,FALSE)</f>
        <v>0</v>
      </c>
      <c r="R29" s="71">
        <f>VLOOKUP(E29,[9]Cumplimiento!$B$6:$P$25,10,FALSE)</f>
        <v>4</v>
      </c>
      <c r="S29" s="72">
        <f>VLOOKUP(E29,[9]Cumplimiento!$B$6:$P$25,11,FALSE)</f>
        <v>0</v>
      </c>
      <c r="T29" s="67">
        <f>VLOOKUP(E29,[9]Cumplimiento!$B$6:$P$25,3,FALSE)</f>
        <v>0</v>
      </c>
      <c r="U29" s="42">
        <f t="shared" si="6"/>
        <v>0</v>
      </c>
      <c r="V29" s="42">
        <f t="shared" si="7"/>
        <v>0</v>
      </c>
      <c r="W29" s="42">
        <f t="shared" si="8"/>
        <v>1</v>
      </c>
      <c r="X29" s="45">
        <f t="shared" si="9"/>
        <v>0</v>
      </c>
      <c r="AA29" s="34" t="e">
        <f>SUM(IF(ISTEXT('[16]PM Atención Ambulatoria'!#REF!),1/COUNTIF('[16]PM Atención Ambulatoria'!#REF!, '[16]PM Atención Ambulatoria'!#REF!),""))</f>
        <v>#VALUE!</v>
      </c>
      <c r="AI29" s="30">
        <f>SUM(P29:S29)</f>
        <v>4</v>
      </c>
    </row>
    <row r="30" spans="2:35" s="29" customFormat="1" ht="33" customHeight="1">
      <c r="B30" s="50">
        <v>2020</v>
      </c>
      <c r="C30" s="49" t="s">
        <v>23</v>
      </c>
      <c r="D30" s="49" t="s">
        <v>73</v>
      </c>
      <c r="E30" s="46" t="str">
        <f>[15]Cumplimiento!$B$7</f>
        <v>Auditoría Interna Proceso Atención en Laboratorio Clínico 2020</v>
      </c>
      <c r="F30" s="49" t="s">
        <v>70</v>
      </c>
      <c r="G30" s="39" t="s">
        <v>11</v>
      </c>
      <c r="H30" s="39" t="s">
        <v>25</v>
      </c>
      <c r="I30" s="75">
        <v>44141</v>
      </c>
      <c r="J30" s="53"/>
      <c r="K30" s="8">
        <f>VLOOKUP(E30,[15]Cumplimiento!$B$6:$P$30,2,FALSE)</f>
        <v>4</v>
      </c>
      <c r="L30" s="6" t="str">
        <f>VLOOKUP(E30,[15]Cumplimiento!$B$6:$P$30,5,FALSE)</f>
        <v>SI</v>
      </c>
      <c r="M30" s="8">
        <f>VLOOKUP(E30,[15]Cumplimiento!$B$6:$P$30,6,FALSE)</f>
        <v>2</v>
      </c>
      <c r="N30" s="9">
        <f>VLOOKUP(E30,[15]Cumplimiento!$B$6:$P$30,4,FALSE)</f>
        <v>45229</v>
      </c>
      <c r="O30" s="6">
        <f>VLOOKUP(E30,[15]Cumplimiento!$B$6:$P$30,7,FALSE)</f>
        <v>5</v>
      </c>
      <c r="P30" s="115">
        <f>VLOOKUP(E30,[15]Cumplimiento!$B$6:$P$30,8,FALSE)</f>
        <v>0</v>
      </c>
      <c r="Q30" s="116">
        <f>VLOOKUP(E30,[15]Cumplimiento!$B$6:$P$10,9,FALSE)</f>
        <v>5</v>
      </c>
      <c r="R30" s="116">
        <f>VLOOKUP(E30,[15]Cumplimiento!$B$6:$P$10,10,FALSE)</f>
        <v>0</v>
      </c>
      <c r="S30" s="117">
        <f>VLOOKUP(E30,[15]Cumplimiento!$B$6:$P$10,11,FALSE)</f>
        <v>0</v>
      </c>
      <c r="T30" s="14">
        <f>VLOOKUP(E30,[15]Cumplimiento!$B$6:$P$10,3,FALSE)</f>
        <v>0</v>
      </c>
      <c r="U30" s="42">
        <f t="shared" si="6"/>
        <v>0</v>
      </c>
      <c r="V30" s="42">
        <f t="shared" si="7"/>
        <v>1</v>
      </c>
      <c r="W30" s="42">
        <f t="shared" si="8"/>
        <v>0</v>
      </c>
      <c r="X30" s="45">
        <f t="shared" si="9"/>
        <v>0</v>
      </c>
      <c r="AI30" s="30">
        <f>SUM(P30:S30)</f>
        <v>5</v>
      </c>
    </row>
    <row r="31" spans="2:35" s="29" customFormat="1" ht="33" customHeight="1">
      <c r="B31" s="50">
        <v>2020</v>
      </c>
      <c r="C31" s="49" t="s">
        <v>17</v>
      </c>
      <c r="D31" s="49" t="s">
        <v>86</v>
      </c>
      <c r="E31" s="46" t="str">
        <f>[12]Cumplimiento!$B$10</f>
        <v>Auditoria Interna Procedimiento Atención del Usuario en Hospitalización 2021</v>
      </c>
      <c r="F31" s="49" t="s">
        <v>70</v>
      </c>
      <c r="G31" s="39" t="s">
        <v>11</v>
      </c>
      <c r="H31" s="39" t="s">
        <v>19</v>
      </c>
      <c r="I31" s="75">
        <v>44161</v>
      </c>
      <c r="J31" s="53"/>
      <c r="K31" s="43">
        <f>VLOOKUP(E31,[12]Cumplimiento!$B$7:$R$30,3,FALSE)</f>
        <v>3</v>
      </c>
      <c r="L31" s="6" t="str">
        <f>VLOOKUP(E31,[12]Cumplimiento!$B$7:$R$30,6,FALSE)</f>
        <v>NO</v>
      </c>
      <c r="M31" s="8" t="str">
        <f>VLOOKUP(E31,[12]Cumplimiento!$B$7:$R$30,7,FALSE)</f>
        <v/>
      </c>
      <c r="N31" s="9">
        <f>VLOOKUP(E31,[12]Cumplimiento!$B$7:$R$30,5,FALSE)</f>
        <v>0</v>
      </c>
      <c r="O31" s="6">
        <f>VLOOKUP(E31,[12]Cumplimiento!$B$7:$R$30,8,FALSE)</f>
        <v>0</v>
      </c>
      <c r="P31" s="115">
        <f>VLOOKUP(E31,[12]Cumplimiento!$B$7:$R$30,9,FALSE)</f>
        <v>0</v>
      </c>
      <c r="Q31" s="116">
        <f>VLOOKUP(E31,[12]Cumplimiento!$B$7:$R$30,11,FALSE)</f>
        <v>0</v>
      </c>
      <c r="R31" s="116">
        <f>VLOOKUP(E31,[12]Cumplimiento!$B$7:$R$30,13,FALSE)</f>
        <v>0</v>
      </c>
      <c r="S31" s="117">
        <f>VLOOKUP(E31,[12]Cumplimiento!$B$7:$R$30,15,FALSE)</f>
        <v>0</v>
      </c>
      <c r="T31" s="14">
        <f>VLOOKUP(E31,[12]Cumplimiento!$B$7:$R$30,16,FALSE)</f>
        <v>0</v>
      </c>
      <c r="U31" s="42" t="str">
        <f t="shared" si="6"/>
        <v>-</v>
      </c>
      <c r="V31" s="42" t="str">
        <f t="shared" si="7"/>
        <v>-</v>
      </c>
      <c r="W31" s="42" t="str">
        <f t="shared" si="8"/>
        <v>-</v>
      </c>
      <c r="X31" s="45">
        <f t="shared" si="9"/>
        <v>0</v>
      </c>
      <c r="AA31" s="37" t="s">
        <v>242</v>
      </c>
      <c r="AI31" s="30">
        <f>SUM(P31:S31)</f>
        <v>0</v>
      </c>
    </row>
    <row r="32" spans="2:35" s="29" customFormat="1" ht="33" customHeight="1">
      <c r="B32" s="50">
        <v>2020</v>
      </c>
      <c r="C32" s="49" t="s">
        <v>83</v>
      </c>
      <c r="D32" s="49" t="s">
        <v>84</v>
      </c>
      <c r="E32" s="46" t="str">
        <f>[24]Cumplimiento!$B$6</f>
        <v>Auditoría Interna Proceso Gestión Docencia Servicio 2020</v>
      </c>
      <c r="F32" s="49" t="s">
        <v>10</v>
      </c>
      <c r="G32" s="39" t="s">
        <v>11</v>
      </c>
      <c r="H32" s="39" t="s">
        <v>85</v>
      </c>
      <c r="I32" s="75">
        <v>44165</v>
      </c>
      <c r="J32" s="53"/>
      <c r="K32" s="8">
        <f>VLOOKUP(E32,[24]Cumplimiento!$B$6:$P$30,2,FALSE)</f>
        <v>6</v>
      </c>
      <c r="L32" s="6" t="str">
        <f>VLOOKUP(E32,[24]Cumplimiento!$B$6:$P$30,5,FALSE)</f>
        <v>SI</v>
      </c>
      <c r="M32" s="8">
        <f>VLOOKUP(E32,[24]Cumplimiento!$B$6:$P$30,6,FALSE)</f>
        <v>4</v>
      </c>
      <c r="N32" s="9">
        <f>VLOOKUP(E32,[24]Cumplimiento!$B$6:$P$30,4,FALSE)</f>
        <v>45226</v>
      </c>
      <c r="O32" s="6">
        <f>VLOOKUP(E32,[24]Cumplimiento!$B$6:$P$30,7,FALSE)</f>
        <v>5</v>
      </c>
      <c r="P32" s="115">
        <f>VLOOKUP(E32,[24]Cumplimiento!$B$6:$P$30,8,FALSE)</f>
        <v>4</v>
      </c>
      <c r="Q32" s="116">
        <f>VLOOKUP(E32,[24]Cumplimiento!$B$6:$P$10,9,FALSE)</f>
        <v>1</v>
      </c>
      <c r="R32" s="116">
        <f>VLOOKUP(E32,[24]Cumplimiento!$B$6:$P$10,10,FALSE)</f>
        <v>0</v>
      </c>
      <c r="S32" s="117">
        <f>VLOOKUP(E32,[24]Cumplimiento!$B$6:$P$10,11,FALSE)</f>
        <v>0</v>
      </c>
      <c r="T32" s="14">
        <f>VLOOKUP(E32,[24]Cumplimiento!$B$6:$P$10,3,FALSE)</f>
        <v>4</v>
      </c>
      <c r="U32" s="42">
        <f t="shared" si="6"/>
        <v>0.8</v>
      </c>
      <c r="V32" s="42">
        <f t="shared" si="7"/>
        <v>0.2</v>
      </c>
      <c r="W32" s="42">
        <f t="shared" si="8"/>
        <v>0</v>
      </c>
      <c r="X32" s="45">
        <f t="shared" si="9"/>
        <v>0.66666666666666663</v>
      </c>
      <c r="AI32" s="30">
        <f>SUM(P32:S32)</f>
        <v>5</v>
      </c>
    </row>
    <row r="33" spans="2:35" s="29" customFormat="1" ht="33" customHeight="1">
      <c r="B33" s="50">
        <v>2020</v>
      </c>
      <c r="C33" s="49" t="s">
        <v>32</v>
      </c>
      <c r="D33" s="49" t="s">
        <v>33</v>
      </c>
      <c r="E33" s="46" t="str">
        <f>[8]Cumplimiento!$B$8</f>
        <v>Auditoría Interna Proceso Gestión Financiera 2020</v>
      </c>
      <c r="F33" s="49" t="s">
        <v>34</v>
      </c>
      <c r="G33" s="39" t="s">
        <v>35</v>
      </c>
      <c r="H33" s="39" t="s">
        <v>36</v>
      </c>
      <c r="I33" s="10">
        <v>44187</v>
      </c>
      <c r="J33" s="53"/>
      <c r="K33" s="43">
        <f>VLOOKUP(E33,[8]Cumplimiento!$B$6:$P$30,2,FALSE)</f>
        <v>14</v>
      </c>
      <c r="L33" s="47" t="str">
        <f>VLOOKUP(E33,[8]Cumplimiento!$B$6:$P$30,5,FALSE)</f>
        <v>NO</v>
      </c>
      <c r="M33" s="67" t="str">
        <f>VLOOKUP(E33,[8]Cumplimiento!$B$6:$P$30,6,FALSE)</f>
        <v/>
      </c>
      <c r="N33" s="44">
        <f>_xlfn.IFNA(VLOOKUP(E33,[8]Cumplimiento!$B$6:$P$30,4,FALSE),"-")</f>
        <v>0</v>
      </c>
      <c r="O33" s="67">
        <f>VLOOKUP(E33,[8]Cumplimiento!$B$6:$P$30,7,FALSE)</f>
        <v>0</v>
      </c>
      <c r="P33" s="70">
        <f>VLOOKUP(E33,[8]Cumplimiento!$B$6:$P$30,8,FALSE)</f>
        <v>0</v>
      </c>
      <c r="Q33" s="71">
        <f>VLOOKUP(E33,[8]Cumplimiento!$B$6:$P$25,9,FALSE)</f>
        <v>0</v>
      </c>
      <c r="R33" s="71">
        <f>VLOOKUP(E33,[8]Cumplimiento!$B$6:$P$25,10,FALSE)</f>
        <v>0</v>
      </c>
      <c r="S33" s="72">
        <f>VLOOKUP(E33,[8]Cumplimiento!$B$6:$P$25,11,FALSE)</f>
        <v>0</v>
      </c>
      <c r="T33" s="67">
        <f>VLOOKUP(E33,[8]Cumplimiento!$B$6:$P$25,3,FALSE)</f>
        <v>0</v>
      </c>
      <c r="U33" s="42" t="str">
        <f t="shared" si="2"/>
        <v>-</v>
      </c>
      <c r="V33" s="42" t="str">
        <f t="shared" si="3"/>
        <v>-</v>
      </c>
      <c r="W33" s="42" t="str">
        <f t="shared" si="4"/>
        <v>-</v>
      </c>
      <c r="X33" s="45">
        <f t="shared" si="0"/>
        <v>0</v>
      </c>
      <c r="AI33" s="30">
        <f t="shared" si="5"/>
        <v>0</v>
      </c>
    </row>
    <row r="34" spans="2:35" s="29" customFormat="1" ht="33" customHeight="1">
      <c r="B34" s="50">
        <v>2021</v>
      </c>
      <c r="C34" s="49" t="s">
        <v>87</v>
      </c>
      <c r="D34" s="49" t="s">
        <v>87</v>
      </c>
      <c r="E34" s="46" t="str">
        <f>[23]Cumplimiento!$B$8</f>
        <v>Auditoría Interna Gestión Cuadro de Turnos 2021</v>
      </c>
      <c r="F34" s="49" t="s">
        <v>70</v>
      </c>
      <c r="G34" s="39" t="s">
        <v>82</v>
      </c>
      <c r="H34" s="39" t="s">
        <v>67</v>
      </c>
      <c r="I34" s="75">
        <v>44267</v>
      </c>
      <c r="J34" s="53"/>
      <c r="K34" s="8">
        <f>VLOOKUP(E34,[23]Cumplimiento!$B$6:$P$30,2,FALSE)</f>
        <v>2</v>
      </c>
      <c r="L34" s="6" t="str">
        <f>VLOOKUP(E34,[23]Cumplimiento!$B$6:$P$30,5,FALSE)</f>
        <v>SI</v>
      </c>
      <c r="M34" s="8">
        <f>VLOOKUP(E34,[23]Cumplimiento!$B$6:$P$30,6,FALSE)</f>
        <v>0</v>
      </c>
      <c r="N34" s="9">
        <f>VLOOKUP(E34,[23]Cumplimiento!$B$6:$P$30,4,FALSE)</f>
        <v>0</v>
      </c>
      <c r="O34" s="6">
        <f>VLOOKUP(E34,[23]Cumplimiento!$B$6:$P$30,7,FALSE)</f>
        <v>2</v>
      </c>
      <c r="P34" s="115">
        <f>VLOOKUP(E34,[23]Cumplimiento!$B$6:$P$30,8,FALSE)</f>
        <v>0</v>
      </c>
      <c r="Q34" s="116">
        <f>VLOOKUP(E34,[23]Cumplimiento!$B$6:$P$30,9,FALSE)</f>
        <v>0</v>
      </c>
      <c r="R34" s="116">
        <f>VLOOKUP(E34,[23]Cumplimiento!$B$6:$P$30,10,FALSE)</f>
        <v>0</v>
      </c>
      <c r="S34" s="117">
        <f>VLOOKUP(E34,[23]Cumplimiento!$B$6:$P$30,11,FALSE)</f>
        <v>2</v>
      </c>
      <c r="T34" s="14">
        <f>VLOOKUP(E34,[23]Cumplimiento!$B$6:$P$30,3,FALSE)</f>
        <v>0</v>
      </c>
      <c r="U34" s="42" t="str">
        <f t="shared" si="2"/>
        <v>-</v>
      </c>
      <c r="V34" s="42" t="str">
        <f t="shared" si="3"/>
        <v>-</v>
      </c>
      <c r="W34" s="42" t="str">
        <f t="shared" si="4"/>
        <v>-</v>
      </c>
      <c r="X34" s="45">
        <f t="shared" si="0"/>
        <v>0</v>
      </c>
      <c r="AI34" s="30">
        <f t="shared" ref="AI34:AI45" si="10">SUM(P34:S34)</f>
        <v>2</v>
      </c>
    </row>
    <row r="35" spans="2:35" s="29" customFormat="1" ht="33" customHeight="1">
      <c r="B35" s="50">
        <v>2021</v>
      </c>
      <c r="C35" s="49" t="s">
        <v>88</v>
      </c>
      <c r="D35" s="49" t="s">
        <v>53</v>
      </c>
      <c r="E35" s="46" t="str">
        <f>[14]Cumplimiento!$B$7</f>
        <v>Auditoria Interna Proceso de Gestión Jurídica 2021</v>
      </c>
      <c r="F35" s="49" t="s">
        <v>10</v>
      </c>
      <c r="G35" s="39" t="s">
        <v>54</v>
      </c>
      <c r="H35" s="39" t="s">
        <v>55</v>
      </c>
      <c r="I35" s="75">
        <v>44292</v>
      </c>
      <c r="J35" s="53"/>
      <c r="K35" s="67">
        <f>VLOOKUP(E35,[14]Cumplimiento!$B$6:$P$30,2,FALSE)</f>
        <v>4</v>
      </c>
      <c r="L35" s="69" t="str">
        <f>VLOOKUP(E35,[14]Cumplimiento!$B$6:$P$30,5,FALSE)</f>
        <v>SI</v>
      </c>
      <c r="M35" s="67">
        <f>VLOOKUP(E35,[14]Cumplimiento!$B$6:$P$30,6,FALSE)</f>
        <v>0</v>
      </c>
      <c r="N35" s="68">
        <f>VLOOKUP(E35,[14]Cumplimiento!$B$6:$P$30,4,FALSE)</f>
        <v>0</v>
      </c>
      <c r="O35" s="67">
        <f>VLOOKUP(E35,[14]Cumplimiento!$B$6:$P$30,7,FALSE)</f>
        <v>15</v>
      </c>
      <c r="P35" s="70">
        <f>VLOOKUP(E35,[14]Cumplimiento!$B$6:$P$30,8,FALSE)</f>
        <v>0</v>
      </c>
      <c r="Q35" s="71">
        <f>VLOOKUP(E35,[14]Cumplimiento!$B$6:$P$10,9,FALSE)</f>
        <v>0</v>
      </c>
      <c r="R35" s="71">
        <f>VLOOKUP(E35,[14]Cumplimiento!$B$6:$P$10,10,FALSE)</f>
        <v>0</v>
      </c>
      <c r="S35" s="72">
        <f>VLOOKUP(E35,[14]Cumplimiento!$B$6:$P$10,11,FALSE)</f>
        <v>15</v>
      </c>
      <c r="T35" s="67">
        <f>VLOOKUP(E35,[14]Cumplimiento!$B$6:$P$10,3,FALSE)</f>
        <v>0</v>
      </c>
      <c r="U35" s="42" t="str">
        <f t="shared" si="2"/>
        <v>-</v>
      </c>
      <c r="V35" s="42" t="str">
        <f t="shared" si="3"/>
        <v>-</v>
      </c>
      <c r="W35" s="42" t="str">
        <f t="shared" si="4"/>
        <v>-</v>
      </c>
      <c r="X35" s="45">
        <f t="shared" si="0"/>
        <v>0</v>
      </c>
      <c r="AA35" s="34" t="e">
        <f>SUM(IF(ISTEXT('[16]PM Atención Ambulatoria'!#REF!),1/COUNTIF('[16]PM Atención Ambulatoria'!#REF!, '[16]PM Atención Ambulatoria'!#REF!),""))</f>
        <v>#VALUE!</v>
      </c>
      <c r="AI35" s="30">
        <f t="shared" si="10"/>
        <v>15</v>
      </c>
    </row>
    <row r="36" spans="2:35" s="29" customFormat="1" ht="33" customHeight="1">
      <c r="B36" s="50">
        <v>2021</v>
      </c>
      <c r="C36" s="49" t="s">
        <v>89</v>
      </c>
      <c r="D36" s="49" t="s">
        <v>90</v>
      </c>
      <c r="E36" s="46" t="str">
        <f>[10]Cumplimiento!$B$9</f>
        <v>Auditoría Interna Supervisión de contratos 2021</v>
      </c>
      <c r="F36" s="49" t="s">
        <v>70</v>
      </c>
      <c r="G36" s="39" t="s">
        <v>45</v>
      </c>
      <c r="H36" s="39" t="s">
        <v>46</v>
      </c>
      <c r="I36" s="10">
        <v>44334</v>
      </c>
      <c r="J36" s="53"/>
      <c r="K36" s="43">
        <f>VLOOKUP(E36,[10]Cumplimiento!$B$6:$P$30,2,FALSE)</f>
        <v>3</v>
      </c>
      <c r="L36" s="47" t="str">
        <f>VLOOKUP(E36,[10]Cumplimiento!$B$6:$P$30,5,FALSE)</f>
        <v>NO</v>
      </c>
      <c r="M36" s="43" t="str">
        <f>VLOOKUP(E36,[10]Cumplimiento!$B$6:$P$30,6,FALSE)</f>
        <v/>
      </c>
      <c r="N36" s="44">
        <f>VLOOKUP(E36,[10]Cumplimiento!$B$6:$P$30,4,FALSE)</f>
        <v>0</v>
      </c>
      <c r="O36" s="67">
        <f>VLOOKUP(E36,[10]Cumplimiento!$B$6:$P$30,7,FALSE)</f>
        <v>0</v>
      </c>
      <c r="P36" s="70">
        <f>VLOOKUP(E36,[10]Cumplimiento!$B$6:$P$30,8,FALSE)</f>
        <v>0</v>
      </c>
      <c r="Q36" s="71">
        <f>VLOOKUP(E36,[10]Cumplimiento!$B$6:$P$30,9,FALSE)</f>
        <v>0</v>
      </c>
      <c r="R36" s="71">
        <f>VLOOKUP(E36,[10]Cumplimiento!$B$6:$P$30,10,FALSE)</f>
        <v>0</v>
      </c>
      <c r="S36" s="72">
        <f>VLOOKUP(E36,[10]Cumplimiento!$B$6:$P$30,11,FALSE)</f>
        <v>0</v>
      </c>
      <c r="T36" s="67">
        <f>VLOOKUP(E36,[10]Cumplimiento!$B$6:$P$30,3,FALSE)</f>
        <v>0</v>
      </c>
      <c r="U36" s="42" t="str">
        <f t="shared" si="2"/>
        <v>-</v>
      </c>
      <c r="V36" s="42" t="str">
        <f t="shared" si="3"/>
        <v>-</v>
      </c>
      <c r="W36" s="42" t="str">
        <f t="shared" si="4"/>
        <v>-</v>
      </c>
      <c r="X36" s="45">
        <f t="shared" si="0"/>
        <v>0</v>
      </c>
      <c r="AA36" s="34" t="e">
        <f>SUM(IF(ISTEXT('[16]PM Atención Ambulatoria'!BZ9:BZ1000),1/COUNTIF('[16]PM Atención Ambulatoria'!BZ9:BZ1000, '[16]PM Atención Ambulatoria'!BZ9:BZ1000),""))</f>
        <v>#VALUE!</v>
      </c>
    </row>
    <row r="37" spans="2:35" s="29" customFormat="1" ht="33" customHeight="1">
      <c r="B37" s="50">
        <v>2021</v>
      </c>
      <c r="C37" s="49" t="s">
        <v>324</v>
      </c>
      <c r="D37" s="49" t="s">
        <v>91</v>
      </c>
      <c r="E37" s="46" t="str">
        <f>[17]Cumplimiento!$B$9</f>
        <v>Auditoría Interna Procedimiento Control de Inventarios Bienes de Consumo - Instructivo Legalización Donaciones 2021</v>
      </c>
      <c r="F37" s="49" t="s">
        <v>10</v>
      </c>
      <c r="G37" s="39" t="s">
        <v>40</v>
      </c>
      <c r="H37" s="39" t="s">
        <v>41</v>
      </c>
      <c r="I37" s="178">
        <v>44342</v>
      </c>
      <c r="J37" s="53"/>
      <c r="K37" s="43">
        <f>VLOOKUP(E37,[17]Cumplimiento!$B$6:$P$30,2,FALSE)</f>
        <v>5</v>
      </c>
      <c r="L37" s="47" t="str">
        <f>VLOOKUP(E37,[17]Cumplimiento!$B$6:$P$30,5,FALSE)</f>
        <v>SI</v>
      </c>
      <c r="M37" s="43">
        <f>VLOOKUP(E37,[17]Cumplimiento!$B$6:$P$30,6,FALSE)</f>
        <v>0</v>
      </c>
      <c r="N37" s="44">
        <f>VLOOKUP(E37,[17]Cumplimiento!$B$6:$P$30,4,FALSE)</f>
        <v>0</v>
      </c>
      <c r="O37" s="67">
        <f>VLOOKUP(E37,[17]Cumplimiento!$B$6:$P$30,7,FALSE)</f>
        <v>20</v>
      </c>
      <c r="P37" s="70">
        <f>VLOOKUP(E37,[17]Cumplimiento!$B$6:$P$30,8,FALSE)</f>
        <v>0</v>
      </c>
      <c r="Q37" s="71">
        <f>VLOOKUP(E37,[17]Cumplimiento!$B$6:$P$30,9,FALSE)</f>
        <v>0</v>
      </c>
      <c r="R37" s="71">
        <f>VLOOKUP(E37,[17]Cumplimiento!$B$6:$P$30,10,FALSE)</f>
        <v>0</v>
      </c>
      <c r="S37" s="72">
        <f>VLOOKUP(E37,[17]Cumplimiento!$B$6:$P$30,11,FALSE)</f>
        <v>20</v>
      </c>
      <c r="T37" s="67">
        <f>VLOOKUP(E37,[17]Cumplimiento!$B$6:$P$30,3,FALSE)</f>
        <v>0</v>
      </c>
      <c r="U37" s="42" t="str">
        <f t="shared" si="2"/>
        <v>-</v>
      </c>
      <c r="V37" s="42" t="str">
        <f t="shared" si="3"/>
        <v>-</v>
      </c>
      <c r="W37" s="42" t="str">
        <f t="shared" si="4"/>
        <v>-</v>
      </c>
      <c r="X37" s="45">
        <f t="shared" si="0"/>
        <v>0</v>
      </c>
      <c r="AI37" s="30">
        <f t="shared" si="10"/>
        <v>20</v>
      </c>
    </row>
    <row r="38" spans="2:35" s="29" customFormat="1" ht="33" customHeight="1">
      <c r="B38" s="50">
        <v>2021</v>
      </c>
      <c r="C38" s="49" t="s">
        <v>92</v>
      </c>
      <c r="D38" s="49" t="s">
        <v>93</v>
      </c>
      <c r="E38" s="46" t="str">
        <f>[25]Cumplimiento!$B$6</f>
        <v>Auditoria Interna Desarrollo Sistema Integrado de Gestión 2021</v>
      </c>
      <c r="F38" s="49" t="s">
        <v>94</v>
      </c>
      <c r="G38" s="39" t="s">
        <v>95</v>
      </c>
      <c r="H38" s="39" t="s">
        <v>92</v>
      </c>
      <c r="I38" s="75">
        <v>44351</v>
      </c>
      <c r="J38" s="53"/>
      <c r="K38" s="43">
        <f>VLOOKUP(E38,[25]Cumplimiento!$B$6:$P$30,2,FALSE)</f>
        <v>12</v>
      </c>
      <c r="L38" s="47" t="str">
        <f>VLOOKUP(E38,[25]Cumplimiento!$B$6:$P$30,5,FALSE)</f>
        <v>SI</v>
      </c>
      <c r="M38" s="43">
        <f>VLOOKUP(E38,[25]Cumplimiento!$B$6:$P$30,6,FALSE)</f>
        <v>1</v>
      </c>
      <c r="N38" s="44">
        <f>VLOOKUP(E38,[25]Cumplimiento!$B$6:$P$30,4,FALSE)</f>
        <v>44594</v>
      </c>
      <c r="O38" s="67">
        <f>VLOOKUP(E38,[25]Cumplimiento!$B$6:$P$30,7,FALSE)</f>
        <v>17</v>
      </c>
      <c r="P38" s="70">
        <f>VLOOKUP(E38,[25]Cumplimiento!$B$6:$P$30,8,FALSE)</f>
        <v>12</v>
      </c>
      <c r="Q38" s="71">
        <f>VLOOKUP(E38,[25]Cumplimiento!$B$6:$P$10,9,FALSE)</f>
        <v>2</v>
      </c>
      <c r="R38" s="71">
        <f>VLOOKUP(E38,[25]Cumplimiento!$B$6:$P$10,10,FALSE)</f>
        <v>0</v>
      </c>
      <c r="S38" s="72">
        <f>VLOOKUP(E38,[25]Cumplimiento!$B$6:$P$10,11,FALSE)</f>
        <v>3</v>
      </c>
      <c r="T38" s="67">
        <f>VLOOKUP(E38,[25]Cumplimiento!$B$6:$P$10,3,FALSE)</f>
        <v>7</v>
      </c>
      <c r="U38" s="42">
        <f t="shared" si="2"/>
        <v>0.8571428571428571</v>
      </c>
      <c r="V38" s="42">
        <f t="shared" si="3"/>
        <v>0.14285714285714285</v>
      </c>
      <c r="W38" s="42">
        <f t="shared" si="4"/>
        <v>0</v>
      </c>
      <c r="X38" s="45">
        <f t="shared" si="0"/>
        <v>0.58333333333333337</v>
      </c>
    </row>
    <row r="39" spans="2:35" s="29" customFormat="1" ht="33" customHeight="1">
      <c r="B39" s="50">
        <v>2021</v>
      </c>
      <c r="C39" s="49" t="s">
        <v>96</v>
      </c>
      <c r="D39" s="49" t="s">
        <v>97</v>
      </c>
      <c r="E39" s="46" t="str">
        <f>[8]Cumplimiento!$B$9</f>
        <v>Auditoría Interna Instructivo Cuadre de Caja 2021-1</v>
      </c>
      <c r="F39" s="49" t="s">
        <v>98</v>
      </c>
      <c r="G39" s="39" t="s">
        <v>35</v>
      </c>
      <c r="H39" s="39" t="s">
        <v>36</v>
      </c>
      <c r="I39" s="10">
        <v>44358</v>
      </c>
      <c r="J39" s="53"/>
      <c r="K39" s="43">
        <f>VLOOKUP(E39,[8]Cumplimiento!$B$6:$P$30,2,FALSE)</f>
        <v>7</v>
      </c>
      <c r="L39" s="47" t="str">
        <f>VLOOKUP(E39,[8]Cumplimiento!$B$6:$P$30,5,FALSE)</f>
        <v>SI</v>
      </c>
      <c r="M39" s="67">
        <f>VLOOKUP(E39,[8]Cumplimiento!$B$6:$P$30,6,FALSE)</f>
        <v>1</v>
      </c>
      <c r="N39" s="44">
        <f>_xlfn.IFNA(VLOOKUP(E39,[8]Cumplimiento!$B$6:$P$30,4,FALSE),"-")</f>
        <v>44718</v>
      </c>
      <c r="O39" s="67">
        <f>VLOOKUP(E39,[8]Cumplimiento!$B$6:$P$30,7,FALSE)</f>
        <v>10</v>
      </c>
      <c r="P39" s="70">
        <f>VLOOKUP(E39,[8]Cumplimiento!$B$6:$P$30,8,FALSE)</f>
        <v>1</v>
      </c>
      <c r="Q39" s="71">
        <f>VLOOKUP(E39,[8]Cumplimiento!$B$6:$P$25,9,FALSE)</f>
        <v>4</v>
      </c>
      <c r="R39" s="71">
        <f>VLOOKUP(E39,[8]Cumplimiento!$B$6:$P$25,10,FALSE)</f>
        <v>3</v>
      </c>
      <c r="S39" s="72">
        <f>VLOOKUP(E39,[8]Cumplimiento!$B$6:$P$25,11,FALSE)</f>
        <v>2</v>
      </c>
      <c r="T39" s="67">
        <f>VLOOKUP(E39,[8]Cumplimiento!$B$6:$P$25,3,FALSE)</f>
        <v>1</v>
      </c>
      <c r="U39" s="42">
        <f t="shared" si="2"/>
        <v>0.125</v>
      </c>
      <c r="V39" s="42">
        <f t="shared" si="3"/>
        <v>0.5</v>
      </c>
      <c r="W39" s="42">
        <f t="shared" si="4"/>
        <v>0.375</v>
      </c>
      <c r="X39" s="45">
        <f t="shared" si="0"/>
        <v>0.14285714285714285</v>
      </c>
      <c r="AI39" s="30">
        <f t="shared" si="10"/>
        <v>10</v>
      </c>
    </row>
    <row r="40" spans="2:35" s="29" customFormat="1" ht="33" customHeight="1">
      <c r="B40" s="50">
        <v>2021</v>
      </c>
      <c r="C40" s="49" t="s">
        <v>100</v>
      </c>
      <c r="D40" s="49" t="s">
        <v>101</v>
      </c>
      <c r="E40" s="46" t="str">
        <f>[8]Cumplimiento!$B$10</f>
        <v>Auditoría Interna Proceso Gestión Financiera Facturación, Cartera y Gestión de Glosas 2021</v>
      </c>
      <c r="F40" s="49" t="s">
        <v>63</v>
      </c>
      <c r="G40" s="39" t="s">
        <v>35</v>
      </c>
      <c r="H40" s="39" t="s">
        <v>36</v>
      </c>
      <c r="I40" s="10">
        <v>44377</v>
      </c>
      <c r="J40" s="53"/>
      <c r="K40" s="43">
        <f>VLOOKUP(E40,[8]Cumplimiento!$B$6:$P$30,2,FALSE)</f>
        <v>9</v>
      </c>
      <c r="L40" s="47" t="str">
        <f>VLOOKUP(E40,[8]Cumplimiento!$B$6:$P$30,5,FALSE)</f>
        <v>NO</v>
      </c>
      <c r="M40" s="67" t="str">
        <f>VLOOKUP(E40,[8]Cumplimiento!$B$6:$P$30,6,FALSE)</f>
        <v/>
      </c>
      <c r="N40" s="44">
        <f>_xlfn.IFNA(VLOOKUP(E40,[8]Cumplimiento!$B$6:$P$30,4,FALSE),"-")</f>
        <v>0</v>
      </c>
      <c r="O40" s="67">
        <f>VLOOKUP(E40,[8]Cumplimiento!$B$6:$P$30,7,FALSE)</f>
        <v>0</v>
      </c>
      <c r="P40" s="70">
        <f>VLOOKUP(E40,[8]Cumplimiento!$B$6:$P$30,8,FALSE)</f>
        <v>0</v>
      </c>
      <c r="Q40" s="71">
        <f>VLOOKUP(E40,[8]Cumplimiento!$B$6:$P$25,9,FALSE)</f>
        <v>0</v>
      </c>
      <c r="R40" s="71">
        <f>VLOOKUP(E40,[8]Cumplimiento!$B$6:$P$25,10,FALSE)</f>
        <v>0</v>
      </c>
      <c r="S40" s="72">
        <f>VLOOKUP(E40,[8]Cumplimiento!$B$6:$P$25,11,FALSE)</f>
        <v>0</v>
      </c>
      <c r="T40" s="67">
        <f>VLOOKUP(E40,[8]Cumplimiento!$B$6:$P$25,3,FALSE)</f>
        <v>0</v>
      </c>
      <c r="U40" s="42" t="str">
        <f>IF(E40="","",IFERROR(P40/(SUM(P40,Q40,R40)),"-"))</f>
        <v>-</v>
      </c>
      <c r="V40" s="42" t="str">
        <f>IF(E40="","",IFERROR(Q40/(SUM(P40,Q40,R40)),"-"))</f>
        <v>-</v>
      </c>
      <c r="W40" s="42" t="str">
        <f>IF(E40="","",IFERROR(R40/(SUM(P40,Q40,R40)),"-"))</f>
        <v>-</v>
      </c>
      <c r="X40" s="45">
        <f>IF(E40="","",IFERROR(T40/K40,"-"))</f>
        <v>0</v>
      </c>
      <c r="AI40" s="30">
        <f>SUM(P40:S40)</f>
        <v>0</v>
      </c>
    </row>
    <row r="41" spans="2:35" s="29" customFormat="1" ht="33" customHeight="1">
      <c r="B41" s="50">
        <v>2021</v>
      </c>
      <c r="C41" s="49" t="s">
        <v>112</v>
      </c>
      <c r="D41" s="49" t="s">
        <v>113</v>
      </c>
      <c r="E41" s="46" t="str">
        <f>[17]Cumplimiento!$B$10</f>
        <v>Auditoría Interna Condiciones de Seguridad Física y Ambientales de los servicios de urgencias 2021</v>
      </c>
      <c r="F41" s="49" t="s">
        <v>70</v>
      </c>
      <c r="G41" s="39" t="s">
        <v>40</v>
      </c>
      <c r="H41" s="39" t="s">
        <v>41</v>
      </c>
      <c r="I41" s="178">
        <v>44411</v>
      </c>
      <c r="J41" s="53"/>
      <c r="K41" s="43">
        <f>VLOOKUP(E41,[17]Cumplimiento!$B$6:$P$30,2,FALSE)</f>
        <v>3</v>
      </c>
      <c r="L41" s="47" t="str">
        <f>VLOOKUP(E41,[17]Cumplimiento!$B$6:$P$30,5,FALSE)</f>
        <v>NO</v>
      </c>
      <c r="M41" s="43" t="str">
        <f>VLOOKUP(E41,[17]Cumplimiento!$B$6:$P$30,6,FALSE)</f>
        <v/>
      </c>
      <c r="N41" s="44">
        <f>VLOOKUP(E41,[17]Cumplimiento!$B$6:$P$30,4,FALSE)</f>
        <v>0</v>
      </c>
      <c r="O41" s="67">
        <f>VLOOKUP(E41,[17]Cumplimiento!$B$6:$P$30,7,FALSE)</f>
        <v>0</v>
      </c>
      <c r="P41" s="70">
        <f>VLOOKUP(E41,[17]Cumplimiento!$B$6:$P$30,8,FALSE)</f>
        <v>0</v>
      </c>
      <c r="Q41" s="71">
        <f>VLOOKUP(E41,[17]Cumplimiento!$B$6:$P$30,9,FALSE)</f>
        <v>0</v>
      </c>
      <c r="R41" s="71">
        <f>VLOOKUP(E41,[17]Cumplimiento!$B$6:$P$30,10,FALSE)</f>
        <v>0</v>
      </c>
      <c r="S41" s="72">
        <f>VLOOKUP(E41,[17]Cumplimiento!$B$6:$P$30,11,FALSE)</f>
        <v>0</v>
      </c>
      <c r="T41" s="67">
        <f>VLOOKUP(E41,[17]Cumplimiento!$B$6:$P$30,3,FALSE)</f>
        <v>0</v>
      </c>
      <c r="U41" s="42" t="str">
        <f>IF(E41="","",IFERROR(P41/(SUM(P41,Q41,R41)),"-"))</f>
        <v>-</v>
      </c>
      <c r="V41" s="42" t="str">
        <f>IF(E41="","",IFERROR(Q41/(SUM(P41,Q41,R41)),"-"))</f>
        <v>-</v>
      </c>
      <c r="W41" s="42" t="str">
        <f>IF(E41="","",IFERROR(R41/(SUM(P41,Q41,R41)),"-"))</f>
        <v>-</v>
      </c>
      <c r="X41" s="45">
        <f>IF(E41="","",IFERROR(T41/K41,"-"))</f>
        <v>0</v>
      </c>
      <c r="AI41" s="30">
        <f>SUM(P41:S41)</f>
        <v>0</v>
      </c>
    </row>
    <row r="42" spans="2:35" s="29" customFormat="1" ht="33" customHeight="1">
      <c r="B42" s="50">
        <v>2021</v>
      </c>
      <c r="C42" s="49" t="s">
        <v>108</v>
      </c>
      <c r="D42" s="49" t="s">
        <v>109</v>
      </c>
      <c r="E42" s="46" t="str">
        <f>[12]Cumplimiento!$B$11</f>
        <v>Auditoría Interna Gestión de Camas 2021</v>
      </c>
      <c r="F42" s="49" t="s">
        <v>10</v>
      </c>
      <c r="G42" s="39" t="s">
        <v>11</v>
      </c>
      <c r="H42" s="39" t="s">
        <v>19</v>
      </c>
      <c r="I42" s="75">
        <v>44420</v>
      </c>
      <c r="J42" s="53"/>
      <c r="K42" s="43">
        <f>VLOOKUP(E42,[12]Cumplimiento!$B$7:$R$30,3,FALSE)</f>
        <v>3</v>
      </c>
      <c r="L42" s="6" t="str">
        <f>VLOOKUP(E42,[12]Cumplimiento!$B$7:$R$30,6,FALSE)</f>
        <v>SI</v>
      </c>
      <c r="M42" s="8">
        <f>VLOOKUP(E42,[12]Cumplimiento!$B$7:$R$30,7,FALSE)</f>
        <v>1</v>
      </c>
      <c r="N42" s="9">
        <f>VLOOKUP(E42,[12]Cumplimiento!$B$7:$R$30,5,FALSE)</f>
        <v>44736</v>
      </c>
      <c r="O42" s="6">
        <f>VLOOKUP(E42,[12]Cumplimiento!$B$7:$R$30,8,FALSE)</f>
        <v>4</v>
      </c>
      <c r="P42" s="115">
        <f>VLOOKUP(E42,[12]Cumplimiento!$B$7:$R$30,9,FALSE)</f>
        <v>0</v>
      </c>
      <c r="Q42" s="116">
        <f>VLOOKUP(E42,[12]Cumplimiento!$B$7:$R$30,11,FALSE)</f>
        <v>3</v>
      </c>
      <c r="R42" s="116">
        <f>VLOOKUP(E42,[12]Cumplimiento!$B$7:$R$30,13,FALSE)</f>
        <v>1</v>
      </c>
      <c r="S42" s="117">
        <f>VLOOKUP(E42,[12]Cumplimiento!$B$7:$R$30,15,FALSE)</f>
        <v>0</v>
      </c>
      <c r="T42" s="14">
        <f>VLOOKUP(E42,[12]Cumplimiento!$B$7:$R$30,16,FALSE)</f>
        <v>0</v>
      </c>
      <c r="U42" s="42">
        <f>IF(E42="","",IFERROR(P42/(SUM(P42,Q42,R42)),"-"))</f>
        <v>0</v>
      </c>
      <c r="V42" s="42">
        <f>IF(E42="","",IFERROR(Q42/(SUM(P42,Q42,R42)),"-"))</f>
        <v>0.75</v>
      </c>
      <c r="W42" s="42">
        <f>IF(E42="","",IFERROR(R42/(SUM(P42,Q42,R42)),"-"))</f>
        <v>0.25</v>
      </c>
      <c r="X42" s="45">
        <f>IF(E42="","",IFERROR(T42/K42,"-"))</f>
        <v>0</v>
      </c>
      <c r="AA42" s="31" t="s">
        <v>214</v>
      </c>
      <c r="AI42" s="30">
        <f>SUM(P42:S42)</f>
        <v>4</v>
      </c>
    </row>
    <row r="43" spans="2:35" s="29" customFormat="1" ht="33" customHeight="1">
      <c r="B43" s="50">
        <v>2021</v>
      </c>
      <c r="C43" s="49" t="s">
        <v>102</v>
      </c>
      <c r="D43" s="49" t="s">
        <v>103</v>
      </c>
      <c r="E43" s="46" t="str">
        <f>[26]Cumplimiento!$B$6</f>
        <v>Auditoría Interna Contratación adquisición de servicios 2021</v>
      </c>
      <c r="F43" s="49" t="s">
        <v>104</v>
      </c>
      <c r="G43" s="39" t="s">
        <v>105</v>
      </c>
      <c r="H43" s="39" t="s">
        <v>106</v>
      </c>
      <c r="I43" s="76">
        <v>44445</v>
      </c>
      <c r="J43" s="53"/>
      <c r="K43" s="8">
        <f>VLOOKUP(E43,[26]Cumplimiento!$B$6:$P$30,2,FALSE)</f>
        <v>2</v>
      </c>
      <c r="L43" s="6" t="str">
        <f>VLOOKUP(E43,[26]Cumplimiento!$B$6:$P$30,5,FALSE)</f>
        <v>NO</v>
      </c>
      <c r="M43" s="8" t="str">
        <f>VLOOKUP(E43,[26]Cumplimiento!$B$6:$P$30,6,FALSE)</f>
        <v/>
      </c>
      <c r="N43" s="9">
        <f>VLOOKUP(E43,[26]Cumplimiento!$B$6:$P$30,4,FALSE)</f>
        <v>0</v>
      </c>
      <c r="O43" s="6">
        <f>VLOOKUP(E43,[26]Cumplimiento!$B$6:$P$30,7,FALSE)</f>
        <v>0</v>
      </c>
      <c r="P43" s="115">
        <f>VLOOKUP(E43,[26]Cumplimiento!$B$6:$P$30,8,FALSE)</f>
        <v>0</v>
      </c>
      <c r="Q43" s="116">
        <f>VLOOKUP(E43,[26]Cumplimiento!$B$6:$P$10,9,FALSE)</f>
        <v>0</v>
      </c>
      <c r="R43" s="116">
        <f>VLOOKUP(E43,[26]Cumplimiento!$B$6:$P$10,10,FALSE)</f>
        <v>0</v>
      </c>
      <c r="S43" s="117">
        <f>VLOOKUP(E43,[26]Cumplimiento!$B$6:$P$10,11,FALSE)</f>
        <v>0</v>
      </c>
      <c r="T43" s="14">
        <f>VLOOKUP(E43,[26]Cumplimiento!$B$6:$P$10,3,FALSE)</f>
        <v>0</v>
      </c>
      <c r="U43" s="42" t="str">
        <f t="shared" si="2"/>
        <v>-</v>
      </c>
      <c r="V43" s="42" t="str">
        <f t="shared" si="3"/>
        <v>-</v>
      </c>
      <c r="W43" s="42" t="str">
        <f t="shared" si="4"/>
        <v>-</v>
      </c>
      <c r="X43" s="45">
        <f t="shared" si="0"/>
        <v>0</v>
      </c>
    </row>
    <row r="44" spans="2:35" s="29" customFormat="1" ht="33" customHeight="1">
      <c r="B44" s="50">
        <v>2021</v>
      </c>
      <c r="C44" s="49" t="s">
        <v>110</v>
      </c>
      <c r="D44" s="49" t="s">
        <v>111</v>
      </c>
      <c r="E44" s="48" t="str">
        <f>[20]Cumplimiento!$B$8</f>
        <v>Auditoria Interna Ciclo de Atención Materno Perinatal 2021</v>
      </c>
      <c r="F44" s="49" t="s">
        <v>98</v>
      </c>
      <c r="G44" s="39" t="s">
        <v>11</v>
      </c>
      <c r="H44" s="39" t="s">
        <v>31</v>
      </c>
      <c r="I44" s="75">
        <v>44445</v>
      </c>
      <c r="J44" s="53"/>
      <c r="K44" s="8">
        <f>VLOOKUP(E44,[20]Cumplimiento!$B$6:$P$30,2,FALSE)</f>
        <v>5</v>
      </c>
      <c r="L44" s="6" t="str">
        <f>VLOOKUP(E44,[20]Cumplimiento!$B$6:$P$30,5,FALSE)</f>
        <v>SI</v>
      </c>
      <c r="M44" s="8">
        <f>VLOOKUP(E44,[20]Cumplimiento!$B$6:$P$30,6,FALSE)</f>
        <v>1</v>
      </c>
      <c r="N44" s="9">
        <f>VLOOKUP(E44,[20]Cumplimiento!$B$6:$P$30,4,FALSE)</f>
        <v>45237</v>
      </c>
      <c r="O44" s="6">
        <f>VLOOKUP(E44,[20]Cumplimiento!$B$6:$P$30,7,FALSE)</f>
        <v>9</v>
      </c>
      <c r="P44" s="115">
        <f>VLOOKUP(E44,[20]Cumplimiento!$B$6:$P$30,8,FALSE)</f>
        <v>6</v>
      </c>
      <c r="Q44" s="116">
        <f>VLOOKUP(E44,[20]Cumplimiento!$B$6:$P$10,9,FALSE)</f>
        <v>2</v>
      </c>
      <c r="R44" s="116">
        <f>VLOOKUP(E44,[20]Cumplimiento!$B$6:$P$10,10,FALSE)</f>
        <v>1</v>
      </c>
      <c r="S44" s="117">
        <f>VLOOKUP(E44,[20]Cumplimiento!$B$6:$P$10,11,FALSE)</f>
        <v>0</v>
      </c>
      <c r="T44" s="14">
        <f>VLOOKUP(E44,[20]Cumplimiento!$B$6:$P$10,3,FALSE)</f>
        <v>3</v>
      </c>
      <c r="U44" s="42">
        <f>IF(E44="","",IFERROR(P44/(SUM(P44,Q44,R44)),"-"))</f>
        <v>0.66666666666666663</v>
      </c>
      <c r="V44" s="42">
        <f>IF(E44="","",IFERROR(Q44/(SUM(P44,Q44,R44)),"-"))</f>
        <v>0.22222222222222221</v>
      </c>
      <c r="W44" s="42">
        <f>IF(E44="","",IFERROR(R44/(SUM(P44,Q44,R44)),"-"))</f>
        <v>0.1111111111111111</v>
      </c>
      <c r="X44" s="45">
        <f>IF(E44="","",IFERROR(T44/K44,"-"))</f>
        <v>0.6</v>
      </c>
      <c r="AA44" s="38" t="e">
        <f>SUM(IF(ISBLANK(E3:E25),0,1/COUNTIF(E3:E25,E3:E25)))</f>
        <v>#DIV/0!</v>
      </c>
      <c r="AI44" s="30">
        <f>SUM(P44:S44)</f>
        <v>9</v>
      </c>
    </row>
    <row r="45" spans="2:35" s="29" customFormat="1" ht="33" customHeight="1">
      <c r="B45" s="50">
        <v>2021</v>
      </c>
      <c r="C45" s="49" t="s">
        <v>107</v>
      </c>
      <c r="D45" s="49" t="s">
        <v>107</v>
      </c>
      <c r="E45" s="46" t="str">
        <f>[18]Cumplimiento!$B$7</f>
        <v>Auditoría Interna Manejo de Archivo Clínico 2021</v>
      </c>
      <c r="F45" s="49" t="s">
        <v>70</v>
      </c>
      <c r="G45" s="39" t="s">
        <v>50</v>
      </c>
      <c r="H45" s="39" t="s">
        <v>51</v>
      </c>
      <c r="I45" s="75">
        <v>44456</v>
      </c>
      <c r="J45" s="53"/>
      <c r="K45" s="43">
        <f>VLOOKUP(E45,[18]Cumplimiento!$B$6:$P$30,2,FALSE)</f>
        <v>3</v>
      </c>
      <c r="L45" s="47" t="str">
        <f>VLOOKUP(E45,[18]Cumplimiento!$B$6:$P$30,5,FALSE)</f>
        <v>SI</v>
      </c>
      <c r="M45" s="67">
        <f>VLOOKUP(E45,[18]Cumplimiento!$B$6:$P$30,6,FALSE)</f>
        <v>1</v>
      </c>
      <c r="N45" s="68">
        <f>VLOOKUP(E45,[18]Cumplimiento!$B$6:$P$30,4,FALSE)</f>
        <v>45260</v>
      </c>
      <c r="O45" s="67">
        <f>VLOOKUP(E45,[18]Cumplimiento!$B$6:$P$30,7,FALSE)</f>
        <v>7</v>
      </c>
      <c r="P45" s="70">
        <f>VLOOKUP(E45,[18]Cumplimiento!$B$6:$P$30,8,FALSE)</f>
        <v>0</v>
      </c>
      <c r="Q45" s="71">
        <f>VLOOKUP(E45,[18]Cumplimiento!$B$6:$P$10,9,FALSE)</f>
        <v>0</v>
      </c>
      <c r="R45" s="71">
        <f>VLOOKUP(E45,[18]Cumplimiento!$B$6:$P$10,10,FALSE)</f>
        <v>7</v>
      </c>
      <c r="S45" s="72">
        <f>VLOOKUP(E45,[18]Cumplimiento!$B$6:$P$10,11,FALSE)</f>
        <v>0</v>
      </c>
      <c r="T45" s="67">
        <f>VLOOKUP(E45,[18]Cumplimiento!$B$6:$P$10,3,FALSE)</f>
        <v>0</v>
      </c>
      <c r="U45" s="42">
        <f t="shared" si="2"/>
        <v>0</v>
      </c>
      <c r="V45" s="42">
        <f t="shared" si="3"/>
        <v>0</v>
      </c>
      <c r="W45" s="42">
        <f t="shared" si="4"/>
        <v>1</v>
      </c>
      <c r="X45" s="45">
        <f t="shared" si="0"/>
        <v>0</v>
      </c>
      <c r="AA45" s="34" t="e">
        <f>SUM(IF(ISTEXT('[16]PM Atención Ambulatoria'!BZ2:BZ993),1/COUNTIF('[16]PM Atención Ambulatoria'!BZ2:BZ993, '[16]PM Atención Ambulatoria'!BZ2:BZ993),""))</f>
        <v>#VALUE!</v>
      </c>
      <c r="AI45" s="30">
        <f t="shared" si="10"/>
        <v>7</v>
      </c>
    </row>
    <row r="46" spans="2:35" s="29" customFormat="1" ht="33" customHeight="1">
      <c r="B46" s="50">
        <v>2021</v>
      </c>
      <c r="C46" s="49" t="s">
        <v>119</v>
      </c>
      <c r="D46" s="49" t="s">
        <v>119</v>
      </c>
      <c r="E46" s="46" t="str">
        <f>[12]Cumplimiento!$B$8</f>
        <v>Auditoría Interna Diligenciamiento y custodia del Consentimiento Informado 2020</v>
      </c>
      <c r="F46" s="49" t="s">
        <v>70</v>
      </c>
      <c r="G46" s="39" t="s">
        <v>11</v>
      </c>
      <c r="H46" s="39" t="s">
        <v>19</v>
      </c>
      <c r="I46" s="75">
        <v>44474</v>
      </c>
      <c r="J46" s="53"/>
      <c r="K46" s="43">
        <f>VLOOKUP(E46,[12]Cumplimiento!$B$7:$R$30,3,FALSE)</f>
        <v>3</v>
      </c>
      <c r="L46" s="6" t="str">
        <f>VLOOKUP(E46,[12]Cumplimiento!$B$7:$R$30,6,FALSE)</f>
        <v>NO</v>
      </c>
      <c r="M46" s="8" t="str">
        <f>VLOOKUP(E46,[12]Cumplimiento!$B$7:$R$30,7,FALSE)</f>
        <v/>
      </c>
      <c r="N46" s="9">
        <f>VLOOKUP(E46,[12]Cumplimiento!$B$7:$R$30,5,FALSE)</f>
        <v>0</v>
      </c>
      <c r="O46" s="6">
        <f>VLOOKUP(E46,[12]Cumplimiento!$B$7:$R$30,8,FALSE)</f>
        <v>0</v>
      </c>
      <c r="P46" s="115">
        <f>VLOOKUP(E46,[12]Cumplimiento!$B$7:$R$30,9,FALSE)</f>
        <v>0</v>
      </c>
      <c r="Q46" s="116">
        <f>VLOOKUP(E46,[12]Cumplimiento!$B$7:$R$30,11,FALSE)</f>
        <v>0</v>
      </c>
      <c r="R46" s="116">
        <f>VLOOKUP(E46,[12]Cumplimiento!$B$7:$R$30,13,FALSE)</f>
        <v>0</v>
      </c>
      <c r="S46" s="117">
        <f>VLOOKUP(E46,[12]Cumplimiento!$B$7:$R$30,15,FALSE)</f>
        <v>0</v>
      </c>
      <c r="T46" s="14">
        <f>VLOOKUP(E46,[12]Cumplimiento!$B$7:$R$30,16,FALSE)</f>
        <v>0</v>
      </c>
      <c r="U46" s="42" t="str">
        <f>IF(E46="","",IFERROR(P46/(SUM(P46,Q46,R46)),"-"))</f>
        <v>-</v>
      </c>
      <c r="V46" s="42" t="str">
        <f>IF(E46="","",IFERROR(Q46/(SUM(P46,Q46,R46)),"-"))</f>
        <v>-</v>
      </c>
      <c r="W46" s="42" t="str">
        <f>IF(E46="","",IFERROR(R46/(SUM(P46,Q46,R46)),"-"))</f>
        <v>-</v>
      </c>
      <c r="X46" s="45">
        <f>IF(E46="","",IFERROR(T46/K46,"-"))</f>
        <v>0</v>
      </c>
      <c r="AA46" s="36" t="s">
        <v>235</v>
      </c>
      <c r="AI46" s="30">
        <f>SUM(P46:S46)</f>
        <v>0</v>
      </c>
    </row>
    <row r="47" spans="2:35" s="29" customFormat="1" ht="33" customHeight="1">
      <c r="B47" s="50">
        <v>2021</v>
      </c>
      <c r="C47" s="49" t="s">
        <v>114</v>
      </c>
      <c r="D47" s="49" t="s">
        <v>115</v>
      </c>
      <c r="E47" s="46" t="str">
        <f>[17]Cumplimiento!$B$11</f>
        <v>Auditoría Interna Mantenimiento de Bienes – Equipos Biomédicos 2021</v>
      </c>
      <c r="F47" s="49" t="s">
        <v>98</v>
      </c>
      <c r="G47" s="39" t="s">
        <v>40</v>
      </c>
      <c r="H47" s="39" t="s">
        <v>41</v>
      </c>
      <c r="I47" s="178">
        <v>44490</v>
      </c>
      <c r="J47" s="53"/>
      <c r="K47" s="43">
        <f>VLOOKUP(E47,[17]Cumplimiento!$B$6:$P$30,2,FALSE)</f>
        <v>5</v>
      </c>
      <c r="L47" s="47" t="str">
        <f>VLOOKUP(E47,[17]Cumplimiento!$B$6:$P$30,5,FALSE)</f>
        <v>NO</v>
      </c>
      <c r="M47" s="43" t="str">
        <f>VLOOKUP(E47,[17]Cumplimiento!$B$6:$P$30,6,FALSE)</f>
        <v/>
      </c>
      <c r="N47" s="44">
        <f>VLOOKUP(E47,[17]Cumplimiento!$B$6:$P$30,4,FALSE)</f>
        <v>0</v>
      </c>
      <c r="O47" s="67">
        <f>VLOOKUP(E47,[17]Cumplimiento!$B$6:$P$30,7,FALSE)</f>
        <v>0</v>
      </c>
      <c r="P47" s="70">
        <f>VLOOKUP(E47,[17]Cumplimiento!$B$6:$P$30,8,FALSE)</f>
        <v>0</v>
      </c>
      <c r="Q47" s="71">
        <f>VLOOKUP(E47,[17]Cumplimiento!$B$6:$P$30,9,FALSE)</f>
        <v>0</v>
      </c>
      <c r="R47" s="71">
        <f>VLOOKUP(E47,[17]Cumplimiento!$B$6:$P$30,10,FALSE)</f>
        <v>0</v>
      </c>
      <c r="S47" s="72">
        <f>VLOOKUP(E47,[17]Cumplimiento!$B$6:$P$30,11,FALSE)</f>
        <v>0</v>
      </c>
      <c r="T47" s="67">
        <f>VLOOKUP(E47,[17]Cumplimiento!$B$6:$P$30,3,FALSE)</f>
        <v>0</v>
      </c>
      <c r="U47" s="42" t="str">
        <f t="shared" si="2"/>
        <v>-</v>
      </c>
      <c r="V47" s="42" t="str">
        <f t="shared" si="3"/>
        <v>-</v>
      </c>
      <c r="W47" s="42" t="str">
        <f t="shared" si="4"/>
        <v>-</v>
      </c>
      <c r="X47" s="45">
        <f t="shared" si="0"/>
        <v>0</v>
      </c>
      <c r="AI47" s="30">
        <f t="shared" ref="AI47:AI51" si="11">SUM(P47:S47)</f>
        <v>0</v>
      </c>
    </row>
    <row r="48" spans="2:35" s="29" customFormat="1" ht="33" customHeight="1">
      <c r="B48" s="50">
        <v>2021</v>
      </c>
      <c r="C48" s="49" t="s">
        <v>99</v>
      </c>
      <c r="D48" s="49" t="s">
        <v>97</v>
      </c>
      <c r="E48" s="46" t="str">
        <f>[8]Cumplimiento!$B$11</f>
        <v>Auditoría Interna Instructivo Cuadre de Caja 2021-2</v>
      </c>
      <c r="F48" s="49" t="s">
        <v>98</v>
      </c>
      <c r="G48" s="39" t="s">
        <v>35</v>
      </c>
      <c r="H48" s="39" t="s">
        <v>36</v>
      </c>
      <c r="I48" s="10">
        <v>44498</v>
      </c>
      <c r="J48" s="53"/>
      <c r="K48" s="43">
        <f>VLOOKUP(E48,[8]Cumplimiento!$B$6:$P$30,2,FALSE)</f>
        <v>6</v>
      </c>
      <c r="L48" s="47" t="str">
        <f>VLOOKUP(E48,[8]Cumplimiento!$B$6:$P$30,5,FALSE)</f>
        <v>NO</v>
      </c>
      <c r="M48" s="67" t="str">
        <f>VLOOKUP(E48,[8]Cumplimiento!$B$6:$P$30,6,FALSE)</f>
        <v/>
      </c>
      <c r="N48" s="44">
        <f>_xlfn.IFNA(VLOOKUP(E48,[8]Cumplimiento!$B$6:$P$30,4,FALSE),"-")</f>
        <v>0</v>
      </c>
      <c r="O48" s="67">
        <f>VLOOKUP(E48,[8]Cumplimiento!$B$6:$P$30,7,FALSE)</f>
        <v>0</v>
      </c>
      <c r="P48" s="70">
        <f>VLOOKUP(E48,[8]Cumplimiento!$B$6:$P$30,8,FALSE)</f>
        <v>0</v>
      </c>
      <c r="Q48" s="71">
        <f>VLOOKUP(E48,[8]Cumplimiento!$B$6:$P$25,9,FALSE)</f>
        <v>0</v>
      </c>
      <c r="R48" s="71">
        <f>VLOOKUP(E48,[8]Cumplimiento!$B$6:$P$25,10,FALSE)</f>
        <v>0</v>
      </c>
      <c r="S48" s="72">
        <f>VLOOKUP(E48,[8]Cumplimiento!$B$6:$P$25,11,FALSE)</f>
        <v>0</v>
      </c>
      <c r="T48" s="67">
        <f>VLOOKUP(E48,[8]Cumplimiento!$B$6:$P$25,3,FALSE)</f>
        <v>0</v>
      </c>
      <c r="U48" s="42" t="str">
        <f>IF(E48="","",IFERROR(P48/(SUM(P48,Q48,R48)),"-"))</f>
        <v>-</v>
      </c>
      <c r="V48" s="42" t="str">
        <f>IF(E48="","",IFERROR(Q48/(SUM(P48,Q48,R48)),"-"))</f>
        <v>-</v>
      </c>
      <c r="W48" s="42" t="str">
        <f>IF(E48="","",IFERROR(R48/(SUM(P48,Q48,R48)),"-"))</f>
        <v>-</v>
      </c>
      <c r="X48" s="45">
        <f>IF(E48="","",IFERROR(T48/K48,"-"))</f>
        <v>0</v>
      </c>
      <c r="AA48" s="29">
        <f ca="1">COUNTA(UNICOS('[16]PM Atención Ambulatoria'!E:E))</f>
        <v>1</v>
      </c>
      <c r="AB48" s="29">
        <f>COUNTA(#REF!="")</f>
        <v>1</v>
      </c>
      <c r="AC48" s="29">
        <f>COUNTA('[16]PM Atención Ambulatoria'!#REF!)</f>
        <v>1</v>
      </c>
      <c r="AD48" s="32" t="e">
        <f t="array" ref="AD48">SUMPRODUCT(1/COUNTIF('[16]PM Atención Ambulatoria'!#REF!,'[16]PM Atención Ambulatoria'!#REF!))</f>
        <v>#REF!</v>
      </c>
      <c r="AI48" s="30">
        <f>SUM(P48:S48)</f>
        <v>0</v>
      </c>
    </row>
    <row r="49" spans="2:35" s="29" customFormat="1" ht="33" customHeight="1">
      <c r="B49" s="50">
        <v>2021</v>
      </c>
      <c r="C49" s="49" t="s">
        <v>120</v>
      </c>
      <c r="D49" s="49" t="s">
        <v>121</v>
      </c>
      <c r="E49" s="46" t="str">
        <f>[17]Cumplimiento!$B$12</f>
        <v>Auditoría Interna Procedimiento Control del inventario de bienes muebles e inmuebles 2021</v>
      </c>
      <c r="F49" s="49" t="s">
        <v>104</v>
      </c>
      <c r="G49" s="39" t="s">
        <v>40</v>
      </c>
      <c r="H49" s="39" t="s">
        <v>41</v>
      </c>
      <c r="I49" s="178">
        <v>44499</v>
      </c>
      <c r="J49" s="53"/>
      <c r="K49" s="43">
        <f>VLOOKUP(E49,[17]Cumplimiento!$B$6:$P$30,2,FALSE)</f>
        <v>4</v>
      </c>
      <c r="L49" s="47" t="str">
        <f>VLOOKUP(E49,[17]Cumplimiento!$B$6:$P$30,5,FALSE)</f>
        <v>SI</v>
      </c>
      <c r="M49" s="43">
        <f>VLOOKUP(E49,[17]Cumplimiento!$B$6:$P$30,6,FALSE)</f>
        <v>1</v>
      </c>
      <c r="N49" s="44">
        <f>VLOOKUP(E49,[17]Cumplimiento!$B$6:$P$30,4,FALSE)</f>
        <v>44726</v>
      </c>
      <c r="O49" s="67">
        <f>VLOOKUP(E49,[17]Cumplimiento!$B$6:$P$30,7,FALSE)</f>
        <v>10</v>
      </c>
      <c r="P49" s="70">
        <f>VLOOKUP(E49,[17]Cumplimiento!$B$6:$P$30,8,FALSE)</f>
        <v>0</v>
      </c>
      <c r="Q49" s="71">
        <f>VLOOKUP(E49,[17]Cumplimiento!$B$6:$P$30,9,FALSE)</f>
        <v>0</v>
      </c>
      <c r="R49" s="71">
        <f>VLOOKUP(E49,[17]Cumplimiento!$B$6:$P$30,10,FALSE)</f>
        <v>10</v>
      </c>
      <c r="S49" s="72">
        <f>VLOOKUP(E49,[17]Cumplimiento!$B$6:$P$30,11,FALSE)</f>
        <v>0</v>
      </c>
      <c r="T49" s="67">
        <f>VLOOKUP(E49,[17]Cumplimiento!$B$6:$P$30,3,FALSE)</f>
        <v>0</v>
      </c>
      <c r="U49" s="42">
        <f>IF(E49="","",IFERROR(P49/(SUM(P49,Q49,R49)),"-"))</f>
        <v>0</v>
      </c>
      <c r="V49" s="42">
        <f>IF(E49="","",IFERROR(Q49/(SUM(P49,Q49,R49)),"-"))</f>
        <v>0</v>
      </c>
      <c r="W49" s="42">
        <f>IF(E49="","",IFERROR(R49/(SUM(P49,Q49,R49)),"-"))</f>
        <v>1</v>
      </c>
      <c r="X49" s="45">
        <f>IF(E49="","",IFERROR(T49/K49,"-"))</f>
        <v>0</v>
      </c>
      <c r="AI49" s="30">
        <f>SUM(P49:S49)</f>
        <v>10</v>
      </c>
    </row>
    <row r="50" spans="2:35" s="29" customFormat="1" ht="33" customHeight="1">
      <c r="B50" s="50">
        <v>2021</v>
      </c>
      <c r="C50" s="49" t="s">
        <v>116</v>
      </c>
      <c r="D50" s="49" t="s">
        <v>117</v>
      </c>
      <c r="E50" s="48" t="str">
        <f>[27]Cumplimiento!$B$6</f>
        <v>Auditoría Interna Programa de Referencia y Contrareferencia 2021</v>
      </c>
      <c r="F50" s="49" t="s">
        <v>10</v>
      </c>
      <c r="G50" s="39" t="s">
        <v>11</v>
      </c>
      <c r="H50" s="39" t="s">
        <v>118</v>
      </c>
      <c r="I50" s="75">
        <v>44503</v>
      </c>
      <c r="J50" s="53"/>
      <c r="K50" s="8">
        <f>VLOOKUP(E50,[27]Cumplimiento!$B$6:$P$30,2,FALSE)</f>
        <v>1</v>
      </c>
      <c r="L50" s="6" t="str">
        <f>VLOOKUP(E50,[27]Cumplimiento!$B$6:$P$30,5,FALSE)</f>
        <v>SI</v>
      </c>
      <c r="M50" s="8">
        <f>VLOOKUP(E50,[27]Cumplimiento!$B$6:$P$30,6,FALSE)</f>
        <v>2</v>
      </c>
      <c r="N50" s="9">
        <f>VLOOKUP(E50,[27]Cumplimiento!$B$6:$P$30,4,FALSE)</f>
        <v>45231</v>
      </c>
      <c r="O50" s="6">
        <f>VLOOKUP(E50,[27]Cumplimiento!$B$6:$P$30,7,FALSE)</f>
        <v>12</v>
      </c>
      <c r="P50" s="115">
        <f>VLOOKUP(E50,[27]Cumplimiento!$B$6:$P$30,8,FALSE)</f>
        <v>0</v>
      </c>
      <c r="Q50" s="116">
        <f>VLOOKUP(E50,[27]Cumplimiento!$B$6:$P$30,9,FALSE)</f>
        <v>4</v>
      </c>
      <c r="R50" s="116">
        <f>VLOOKUP(E50,[27]Cumplimiento!$B$6:$P$30,10,FALSE)</f>
        <v>8</v>
      </c>
      <c r="S50" s="117">
        <f>VLOOKUP(E50,[27]Cumplimiento!$B$6:$P$30,11,FALSE)</f>
        <v>0</v>
      </c>
      <c r="T50" s="14">
        <f>VLOOKUP(E50,[27]Cumplimiento!$B$6:$P$30,3,FALSE)</f>
        <v>0</v>
      </c>
      <c r="U50" s="42">
        <f t="shared" si="2"/>
        <v>0</v>
      </c>
      <c r="V50" s="42">
        <f t="shared" si="3"/>
        <v>0.33333333333333331</v>
      </c>
      <c r="W50" s="42">
        <f t="shared" si="4"/>
        <v>0.66666666666666663</v>
      </c>
      <c r="X50" s="45">
        <f t="shared" si="0"/>
        <v>0</v>
      </c>
      <c r="AA50" s="29">
        <f ca="1">COUNTA(UNICOS('[16]PM Atención Ambulatoria'!E:E))</f>
        <v>1</v>
      </c>
      <c r="AB50" s="29">
        <f>COUNTA(#REF!="")</f>
        <v>1</v>
      </c>
      <c r="AC50" s="29">
        <f>COUNTA('[16]PM Atención Ambulatoria'!#REF!)</f>
        <v>1</v>
      </c>
      <c r="AD50" s="32" t="e">
        <f t="array" ref="AD50">SUMPRODUCT(1/COUNTIF('[16]PM Atención Ambulatoria'!#REF!,'[16]PM Atención Ambulatoria'!#REF!))</f>
        <v>#REF!</v>
      </c>
      <c r="AI50" s="30">
        <f t="shared" si="11"/>
        <v>12</v>
      </c>
    </row>
    <row r="51" spans="2:35" s="29" customFormat="1" ht="33" customHeight="1">
      <c r="B51" s="50">
        <v>2021</v>
      </c>
      <c r="C51" s="49" t="s">
        <v>122</v>
      </c>
      <c r="D51" s="49" t="s">
        <v>123</v>
      </c>
      <c r="E51" s="46" t="str">
        <f>[23]Cumplimiento!$B$9</f>
        <v>Auditoría Interna Proceso de Gestión del Talento Humano 2021</v>
      </c>
      <c r="F51" s="49" t="s">
        <v>94</v>
      </c>
      <c r="G51" s="39" t="s">
        <v>82</v>
      </c>
      <c r="H51" s="39" t="s">
        <v>67</v>
      </c>
      <c r="I51" s="75">
        <v>44509</v>
      </c>
      <c r="J51" s="53"/>
      <c r="K51" s="8">
        <f>VLOOKUP(E51,[23]Cumplimiento!$B$6:$P$30,2,FALSE)</f>
        <v>7</v>
      </c>
      <c r="L51" s="6" t="str">
        <f>VLOOKUP(E51,[23]Cumplimiento!$B$6:$P$30,5,FALSE)</f>
        <v>NO</v>
      </c>
      <c r="M51" s="8" t="str">
        <f>VLOOKUP(E51,[23]Cumplimiento!$B$6:$P$30,6,FALSE)</f>
        <v/>
      </c>
      <c r="N51" s="9">
        <f>VLOOKUP(E51,[23]Cumplimiento!$B$6:$P$30,4,FALSE)</f>
        <v>0</v>
      </c>
      <c r="O51" s="6">
        <f>VLOOKUP(E51,[23]Cumplimiento!$B$6:$P$30,7,FALSE)</f>
        <v>0</v>
      </c>
      <c r="P51" s="115">
        <f>VLOOKUP(E51,[23]Cumplimiento!$B$6:$P$30,8,FALSE)</f>
        <v>0</v>
      </c>
      <c r="Q51" s="116">
        <f>VLOOKUP(E51,[23]Cumplimiento!$B$6:$P$30,9,FALSE)</f>
        <v>0</v>
      </c>
      <c r="R51" s="116">
        <f>VLOOKUP(E51,[23]Cumplimiento!$B$6:$P$30,10,FALSE)</f>
        <v>0</v>
      </c>
      <c r="S51" s="117">
        <f>VLOOKUP(E51,[23]Cumplimiento!$B$6:$P$30,11,FALSE)</f>
        <v>0</v>
      </c>
      <c r="T51" s="14">
        <f>VLOOKUP(E51,[23]Cumplimiento!$B$6:$P$30,3,FALSE)</f>
        <v>0</v>
      </c>
      <c r="U51" s="42" t="str">
        <f t="shared" si="2"/>
        <v>-</v>
      </c>
      <c r="V51" s="42" t="str">
        <f t="shared" si="3"/>
        <v>-</v>
      </c>
      <c r="W51" s="42" t="str">
        <f t="shared" si="4"/>
        <v>-</v>
      </c>
      <c r="X51" s="45">
        <f t="shared" si="0"/>
        <v>0</v>
      </c>
      <c r="AA51" s="29">
        <f ca="1">COUNTA(UNICOS('[16]PM Atención Ambulatoria'!E:E))</f>
        <v>1</v>
      </c>
      <c r="AB51" s="29">
        <f>COUNTA(#REF!="")</f>
        <v>1</v>
      </c>
      <c r="AC51" s="29">
        <f>COUNTA('[16]PM Atención Ambulatoria'!#REF!)</f>
        <v>1</v>
      </c>
      <c r="AD51" s="32" t="e">
        <f t="array" ref="AD51">SUMPRODUCT(1/COUNTIF('[16]PM Atención Ambulatoria'!#REF!,'[16]PM Atención Ambulatoria'!#REF!))</f>
        <v>#REF!</v>
      </c>
      <c r="AI51" s="30">
        <f t="shared" si="11"/>
        <v>0</v>
      </c>
    </row>
    <row r="52" spans="2:35" s="29" customFormat="1" ht="33" customHeight="1">
      <c r="B52" s="50">
        <v>2021</v>
      </c>
      <c r="C52" s="49" t="s">
        <v>125</v>
      </c>
      <c r="D52" s="49" t="s">
        <v>126</v>
      </c>
      <c r="E52" s="46" t="str">
        <f>[28]Cumplimiento!$B$6</f>
        <v>Auditoría Interna Liquidación de convenios interadministrativos 2021</v>
      </c>
      <c r="F52" s="49" t="s">
        <v>98</v>
      </c>
      <c r="G52" s="39" t="s">
        <v>127</v>
      </c>
      <c r="H52" s="39" t="s">
        <v>128</v>
      </c>
      <c r="I52" s="75">
        <v>44559</v>
      </c>
      <c r="J52" s="53"/>
      <c r="K52" s="43">
        <f>VLOOKUP(E52,[28]Cumplimiento!$B$6:$P$30,2,FALSE)</f>
        <v>1</v>
      </c>
      <c r="L52" s="47" t="str">
        <f>VLOOKUP(E52,[28]Cumplimiento!$B$6:$P$30,5,FALSE)</f>
        <v>SI</v>
      </c>
      <c r="M52" s="43">
        <f>VLOOKUP(E52,[28]Cumplimiento!$B$6:$P$30,6,FALSE)</f>
        <v>0</v>
      </c>
      <c r="N52" s="44">
        <f>VLOOKUP(E52,[28]Cumplimiento!$B$6:$P$30,4,FALSE)</f>
        <v>0</v>
      </c>
      <c r="O52" s="67">
        <f>VLOOKUP(E52,[28]Cumplimiento!$B$6:$P$30,7,FALSE)</f>
        <v>8</v>
      </c>
      <c r="P52" s="70">
        <f>VLOOKUP(E52,[28]Cumplimiento!$B$6:$P$30,8,FALSE)</f>
        <v>0</v>
      </c>
      <c r="Q52" s="71">
        <f>VLOOKUP(E52,[28]Cumplimiento!$B$6:$P$10,9,FALSE)</f>
        <v>0</v>
      </c>
      <c r="R52" s="71">
        <f>VLOOKUP(E52,[28]Cumplimiento!$B$6:$P$10,10,FALSE)</f>
        <v>0</v>
      </c>
      <c r="S52" s="72">
        <f>VLOOKUP(E52,[28]Cumplimiento!$B$6:$P$10,11,FALSE)</f>
        <v>8</v>
      </c>
      <c r="T52" s="67">
        <f>VLOOKUP(E52,[28]Cumplimiento!$B$6:$P$10,3,FALSE)</f>
        <v>0</v>
      </c>
      <c r="U52" s="42" t="str">
        <f t="shared" si="2"/>
        <v>-</v>
      </c>
      <c r="V52" s="42" t="str">
        <f t="shared" si="3"/>
        <v>-</v>
      </c>
      <c r="W52" s="42" t="str">
        <f t="shared" si="4"/>
        <v>-</v>
      </c>
      <c r="X52" s="45">
        <f t="shared" si="0"/>
        <v>0</v>
      </c>
    </row>
    <row r="53" spans="2:35" s="29" customFormat="1" ht="33" customHeight="1">
      <c r="B53" s="50">
        <v>2021</v>
      </c>
      <c r="C53" s="49" t="s">
        <v>124</v>
      </c>
      <c r="D53" s="49" t="s">
        <v>33</v>
      </c>
      <c r="E53" s="46" t="str">
        <f>[8]Cumplimiento!$B$12</f>
        <v>Auditoría Interna Proceso Gestión Financiera 2021</v>
      </c>
      <c r="F53" s="49" t="s">
        <v>104</v>
      </c>
      <c r="G53" s="39" t="s">
        <v>35</v>
      </c>
      <c r="H53" s="39" t="s">
        <v>36</v>
      </c>
      <c r="I53" s="10">
        <v>44601</v>
      </c>
      <c r="J53" s="53"/>
      <c r="K53" s="43">
        <f>VLOOKUP(E53,[8]Cumplimiento!$B$6:$P$30,2,FALSE)</f>
        <v>4</v>
      </c>
      <c r="L53" s="47" t="str">
        <f>VLOOKUP(E53,[8]Cumplimiento!$B$6:$P$30,5,FALSE)</f>
        <v>SI</v>
      </c>
      <c r="M53" s="67">
        <f>VLOOKUP(E53,[8]Cumplimiento!$B$6:$P$30,6,FALSE)</f>
        <v>1</v>
      </c>
      <c r="N53" s="44">
        <f>_xlfn.IFNA(VLOOKUP(E53,[8]Cumplimiento!$B$6:$P$30,4,FALSE),"-")</f>
        <v>44700</v>
      </c>
      <c r="O53" s="67">
        <f>VLOOKUP(E53,[8]Cumplimiento!$B$6:$P$30,7,FALSE)</f>
        <v>5</v>
      </c>
      <c r="P53" s="70">
        <f>VLOOKUP(E53,[8]Cumplimiento!$B$6:$P$30,8,FALSE)</f>
        <v>0</v>
      </c>
      <c r="Q53" s="71">
        <f>VLOOKUP(E53,[8]Cumplimiento!$B$6:$P$25,9,FALSE)</f>
        <v>4</v>
      </c>
      <c r="R53" s="71">
        <f>VLOOKUP(E53,[8]Cumplimiento!$B$6:$P$25,10,FALSE)</f>
        <v>1</v>
      </c>
      <c r="S53" s="72">
        <f>VLOOKUP(E53,[8]Cumplimiento!$B$6:$P$25,11,FALSE)</f>
        <v>0</v>
      </c>
      <c r="T53" s="67">
        <f>VLOOKUP(E53,[8]Cumplimiento!$B$6:$P$25,3,FALSE)</f>
        <v>0</v>
      </c>
      <c r="U53" s="42">
        <f>IF(E53="","",IFERROR(P53/(SUM(P53,Q53,R53)),"-"))</f>
        <v>0</v>
      </c>
      <c r="V53" s="42">
        <f>IF(E53="","",IFERROR(Q53/(SUM(P53,Q53,R53)),"-"))</f>
        <v>0.8</v>
      </c>
      <c r="W53" s="42">
        <f>IF(E53="","",IFERROR(R53/(SUM(P53,Q53,R53)),"-"))</f>
        <v>0.2</v>
      </c>
      <c r="X53" s="45">
        <f>IF(E53="","",IFERROR(T53/K53,"-"))</f>
        <v>0</v>
      </c>
      <c r="AA53" s="29" t="s">
        <v>209</v>
      </c>
      <c r="AD53" s="29" t="e">
        <f>SUM(1/COUNTIF(#REF!,#REF!))</f>
        <v>#REF!</v>
      </c>
      <c r="AI53" s="30">
        <f>SUM(P53:S53)</f>
        <v>5</v>
      </c>
    </row>
    <row r="54" spans="2:35" s="29" customFormat="1" ht="33" customHeight="1">
      <c r="B54" s="50">
        <v>2022</v>
      </c>
      <c r="C54" s="49" t="s">
        <v>136</v>
      </c>
      <c r="D54" s="49" t="s">
        <v>97</v>
      </c>
      <c r="E54" s="46" t="str">
        <f>[8]Cumplimiento!$B$13</f>
        <v>Auditoría Interna Instructivo Cuadre de Caja 2022-1</v>
      </c>
      <c r="F54" s="49" t="s">
        <v>70</v>
      </c>
      <c r="G54" s="39" t="s">
        <v>35</v>
      </c>
      <c r="H54" s="39" t="s">
        <v>36</v>
      </c>
      <c r="I54" s="10">
        <v>44586</v>
      </c>
      <c r="J54" s="53"/>
      <c r="K54" s="43">
        <f>VLOOKUP(E54,[8]Cumplimiento!$B$6:$P$30,2,FALSE)</f>
        <v>2</v>
      </c>
      <c r="L54" s="47" t="str">
        <f>VLOOKUP(E54,[8]Cumplimiento!$B$6:$P$30,5,FALSE)</f>
        <v>NO</v>
      </c>
      <c r="M54" s="67" t="str">
        <f>VLOOKUP(E54,[8]Cumplimiento!$B$6:$P$30,6,FALSE)</f>
        <v/>
      </c>
      <c r="N54" s="44">
        <f>_xlfn.IFNA(VLOOKUP(E54,[8]Cumplimiento!$B$6:$P$30,4,FALSE),"-")</f>
        <v>0</v>
      </c>
      <c r="O54" s="67">
        <f>VLOOKUP(E54,[8]Cumplimiento!$B$6:$P$30,7,FALSE)</f>
        <v>0</v>
      </c>
      <c r="P54" s="70">
        <f>VLOOKUP(E54,[8]Cumplimiento!$B$6:$P$30,8,FALSE)</f>
        <v>0</v>
      </c>
      <c r="Q54" s="71">
        <f>VLOOKUP(E54,[8]Cumplimiento!$B$6:$P$25,9,FALSE)</f>
        <v>0</v>
      </c>
      <c r="R54" s="71">
        <f>VLOOKUP(E54,[8]Cumplimiento!$B$6:$P$25,10,FALSE)</f>
        <v>0</v>
      </c>
      <c r="S54" s="72">
        <f>VLOOKUP(E54,[8]Cumplimiento!$B$6:$P$25,11,FALSE)</f>
        <v>0</v>
      </c>
      <c r="T54" s="67">
        <f>VLOOKUP(E54,[8]Cumplimiento!$B$6:$P$25,3,FALSE)</f>
        <v>0</v>
      </c>
      <c r="U54" s="42" t="str">
        <f>IF(E54="","",IFERROR(P54/(SUM(P54,Q54,R54)),"-"))</f>
        <v>-</v>
      </c>
      <c r="V54" s="42" t="str">
        <f>IF(E54="","",IFERROR(Q54/(SUM(P54,Q54,R54)),"-"))</f>
        <v>-</v>
      </c>
      <c r="W54" s="42" t="str">
        <f>IF(E54="","",IFERROR(R54/(SUM(P54,Q54,R54)),"-"))</f>
        <v>-</v>
      </c>
      <c r="X54" s="45">
        <f>IF(E54="","",IFERROR(T54/K54,"-"))</f>
        <v>0</v>
      </c>
      <c r="AI54" s="30">
        <f>SUM(P54:S54)</f>
        <v>0</v>
      </c>
    </row>
    <row r="55" spans="2:35" s="29" customFormat="1" ht="33" customHeight="1">
      <c r="B55" s="50">
        <v>2022</v>
      </c>
      <c r="C55" s="49" t="s">
        <v>131</v>
      </c>
      <c r="D55" s="49" t="s">
        <v>132</v>
      </c>
      <c r="E55" s="46" t="str">
        <f>[28]Cumplimiento!$B$7</f>
        <v>Auditoría Interna Condiciones de Almacenamiento de Medicamentos y Dispositivos Médicos Proyectos Salud Pública 2022</v>
      </c>
      <c r="F55" s="49" t="s">
        <v>133</v>
      </c>
      <c r="G55" s="39" t="s">
        <v>127</v>
      </c>
      <c r="H55" s="39" t="s">
        <v>128</v>
      </c>
      <c r="I55" s="75">
        <v>44636</v>
      </c>
      <c r="J55" s="53"/>
      <c r="K55" s="43">
        <f>VLOOKUP(E55,[28]Cumplimiento!$B$6:$P$30,2,FALSE)</f>
        <v>1</v>
      </c>
      <c r="L55" s="47" t="str">
        <f>VLOOKUP(E55,[28]Cumplimiento!$B$6:$P$30,5,FALSE)</f>
        <v>SI</v>
      </c>
      <c r="M55" s="43">
        <f>VLOOKUP(E55,[28]Cumplimiento!$B$6:$P$30,6,FALSE)</f>
        <v>2</v>
      </c>
      <c r="N55" s="44">
        <f>VLOOKUP(E55,[28]Cumplimiento!$B$6:$P$30,4,FALSE)</f>
        <v>44740</v>
      </c>
      <c r="O55" s="67">
        <f>VLOOKUP(E55,[28]Cumplimiento!$B$6:$P$30,7,FALSE)</f>
        <v>12</v>
      </c>
      <c r="P55" s="70">
        <f>VLOOKUP(E55,[28]Cumplimiento!$B$6:$P$30,8,FALSE)</f>
        <v>3</v>
      </c>
      <c r="Q55" s="71">
        <f>VLOOKUP(E55,[28]Cumplimiento!$B$6:$P$10,9,FALSE)</f>
        <v>9</v>
      </c>
      <c r="R55" s="71">
        <f>VLOOKUP(E55,[28]Cumplimiento!$B$6:$P$10,10,FALSE)</f>
        <v>0</v>
      </c>
      <c r="S55" s="72">
        <f>VLOOKUP(E55,[28]Cumplimiento!$B$6:$P$10,11,FALSE)</f>
        <v>0</v>
      </c>
      <c r="T55" s="67">
        <f>VLOOKUP(E55,[28]Cumplimiento!$B$6:$P$10,3,FALSE)</f>
        <v>0</v>
      </c>
      <c r="U55" s="42">
        <f>IF(E55="","",IFERROR(P55/(SUM(P55,Q55,R55)),"-"))</f>
        <v>0.25</v>
      </c>
      <c r="V55" s="42">
        <f>IF(E55="","",IFERROR(Q55/(SUM(P55,Q55,R55)),"-"))</f>
        <v>0.75</v>
      </c>
      <c r="W55" s="42">
        <f>IF(E55="","",IFERROR(R55/(SUM(P55,Q55,R55)),"-"))</f>
        <v>0</v>
      </c>
      <c r="X55" s="45">
        <f>IF(E55="","",IFERROR(T55/K55,"-"))</f>
        <v>0</v>
      </c>
      <c r="AA55" s="29">
        <f ca="1">COUNTA(UNICOS('[16]PM Atención Ambulatoria'!E:E))</f>
        <v>1</v>
      </c>
      <c r="AB55" s="29">
        <f>COUNTA(E2:E16="")</f>
        <v>1</v>
      </c>
      <c r="AC55" s="29">
        <f>COUNTA('[16]PM Atención Ambulatoria'!E9:E1000)</f>
        <v>6</v>
      </c>
      <c r="AD55" s="32" t="e">
        <f t="array" ref="AD55">SUMPRODUCT(1/COUNTIF('[16]PM Atención Ambulatoria'!E9:E1000,'[16]PM Atención Ambulatoria'!E9:E1000))</f>
        <v>#VALUE!</v>
      </c>
    </row>
    <row r="56" spans="2:35" s="29" customFormat="1" ht="33" customHeight="1">
      <c r="B56" s="50">
        <v>2022</v>
      </c>
      <c r="C56" s="49" t="s">
        <v>134</v>
      </c>
      <c r="D56" s="49" t="s">
        <v>135</v>
      </c>
      <c r="E56" s="46" t="str">
        <f>[10]Cumplimiento!$B$10</f>
        <v>Auditoría Interna Supervisión de contratos 2022</v>
      </c>
      <c r="F56" s="49" t="s">
        <v>70</v>
      </c>
      <c r="G56" s="39" t="s">
        <v>45</v>
      </c>
      <c r="H56" s="39" t="s">
        <v>46</v>
      </c>
      <c r="I56" s="10">
        <v>44637</v>
      </c>
      <c r="J56" s="53"/>
      <c r="K56" s="43">
        <f>VLOOKUP(E56,[10]Cumplimiento!$B$6:$P$30,2,FALSE)</f>
        <v>2</v>
      </c>
      <c r="L56" s="47" t="str">
        <f>VLOOKUP(E56,[10]Cumplimiento!$B$6:$P$30,5,FALSE)</f>
        <v>NO</v>
      </c>
      <c r="M56" s="43" t="str">
        <f>VLOOKUP(E56,[10]Cumplimiento!$B$6:$P$30,6,FALSE)</f>
        <v/>
      </c>
      <c r="N56" s="44">
        <f>VLOOKUP(E56,[10]Cumplimiento!$B$6:$P$30,4,FALSE)</f>
        <v>0</v>
      </c>
      <c r="O56" s="67">
        <f>VLOOKUP(E56,[10]Cumplimiento!$B$6:$P$30,7,FALSE)</f>
        <v>0</v>
      </c>
      <c r="P56" s="70">
        <f>VLOOKUP(E56,[10]Cumplimiento!$B$6:$P$30,8,FALSE)</f>
        <v>0</v>
      </c>
      <c r="Q56" s="71">
        <f>VLOOKUP(E56,[10]Cumplimiento!$B$6:$P$30,9,FALSE)</f>
        <v>0</v>
      </c>
      <c r="R56" s="71">
        <f>VLOOKUP(E56,[10]Cumplimiento!$B$6:$P$30,10,FALSE)</f>
        <v>0</v>
      </c>
      <c r="S56" s="72">
        <f>VLOOKUP(E56,[10]Cumplimiento!$B$6:$P$30,11,FALSE)</f>
        <v>0</v>
      </c>
      <c r="T56" s="67">
        <f>VLOOKUP(E56,[10]Cumplimiento!$B$6:$P$30,3,FALSE)</f>
        <v>0</v>
      </c>
      <c r="U56" s="42" t="str">
        <f>IF(E56="","",IFERROR(P56/(SUM(P56,Q56,R56)),"-"))</f>
        <v>-</v>
      </c>
      <c r="V56" s="42" t="str">
        <f>IF(E56="","",IFERROR(Q56/(SUM(P56,Q56,R56)),"-"))</f>
        <v>-</v>
      </c>
      <c r="W56" s="42" t="str">
        <f>IF(E56="","",IFERROR(R56/(SUM(P56,Q56,R56)),"-"))</f>
        <v>-</v>
      </c>
      <c r="X56" s="45">
        <f>IF(E56="","",IFERROR(T56/K56,"-"))</f>
        <v>0</v>
      </c>
    </row>
    <row r="57" spans="2:35" s="29" customFormat="1" ht="33" customHeight="1">
      <c r="B57" s="50">
        <v>2022</v>
      </c>
      <c r="C57" s="49" t="s">
        <v>129</v>
      </c>
      <c r="D57" s="49" t="s">
        <v>130</v>
      </c>
      <c r="E57" s="46" t="str">
        <f>[17]Cumplimiento!$B$13</f>
        <v>Auditoría Interna Mantenimiento de Bienes – Equipos Biomédicos 2022</v>
      </c>
      <c r="F57" s="49" t="s">
        <v>98</v>
      </c>
      <c r="G57" s="39" t="s">
        <v>40</v>
      </c>
      <c r="H57" s="39" t="s">
        <v>41</v>
      </c>
      <c r="I57" s="178">
        <v>44648</v>
      </c>
      <c r="J57" s="53"/>
      <c r="K57" s="43">
        <f>VLOOKUP(E57,[17]Cumplimiento!$B$6:$P$30,2,FALSE)</f>
        <v>2</v>
      </c>
      <c r="L57" s="47" t="str">
        <f>VLOOKUP(E57,[17]Cumplimiento!$B$6:$P$30,5,FALSE)</f>
        <v>SI</v>
      </c>
      <c r="M57" s="43">
        <f>VLOOKUP(E57,[17]Cumplimiento!$B$6:$P$30,6,FALSE)</f>
        <v>0</v>
      </c>
      <c r="N57" s="44">
        <f>VLOOKUP(E57,[17]Cumplimiento!$B$6:$P$30,4,FALSE)</f>
        <v>0</v>
      </c>
      <c r="O57" s="67">
        <f>VLOOKUP(E57,[17]Cumplimiento!$B$6:$P$30,7,FALSE)</f>
        <v>6</v>
      </c>
      <c r="P57" s="70">
        <f>VLOOKUP(E57,[17]Cumplimiento!$B$6:$P$30,8,FALSE)</f>
        <v>0</v>
      </c>
      <c r="Q57" s="71">
        <f>VLOOKUP(E57,[17]Cumplimiento!$B$6:$P$30,9,FALSE)</f>
        <v>0</v>
      </c>
      <c r="R57" s="71">
        <f>VLOOKUP(E57,[17]Cumplimiento!$B$6:$P$30,10,FALSE)</f>
        <v>0</v>
      </c>
      <c r="S57" s="72">
        <f>VLOOKUP(E57,[17]Cumplimiento!$B$6:$P$30,11,FALSE)</f>
        <v>6</v>
      </c>
      <c r="T57" s="67">
        <f>VLOOKUP(E57,[17]Cumplimiento!$B$6:$P$30,3,FALSE)</f>
        <v>0</v>
      </c>
      <c r="U57" s="42" t="str">
        <f t="shared" si="2"/>
        <v>-</v>
      </c>
      <c r="V57" s="42" t="str">
        <f t="shared" si="3"/>
        <v>-</v>
      </c>
      <c r="W57" s="42" t="str">
        <f t="shared" si="4"/>
        <v>-</v>
      </c>
      <c r="X57" s="45">
        <f t="shared" si="0"/>
        <v>0</v>
      </c>
      <c r="AA57" s="29">
        <f ca="1">COUNTA(UNICOS('[16]PM Atención Ambulatoria'!E:E))</f>
        <v>1</v>
      </c>
      <c r="AB57" s="29">
        <f>COUNTA(#REF!="")</f>
        <v>1</v>
      </c>
      <c r="AC57" s="29">
        <f>COUNTA('[16]PM Atención Ambulatoria'!E2:E993)</f>
        <v>7</v>
      </c>
      <c r="AD57" s="32" t="e">
        <f t="array" ref="AD57">SUMPRODUCT(1/COUNTIF('[16]PM Atención Ambulatoria'!E2:E993,'[16]PM Atención Ambulatoria'!E2:E993))</f>
        <v>#VALUE!</v>
      </c>
      <c r="AI57" s="30">
        <f>SUM(P57:S57)</f>
        <v>6</v>
      </c>
    </row>
    <row r="58" spans="2:35" s="29" customFormat="1" ht="33" customHeight="1">
      <c r="B58" s="50">
        <v>2022</v>
      </c>
      <c r="C58" s="49" t="s">
        <v>140</v>
      </c>
      <c r="D58" s="49" t="s">
        <v>141</v>
      </c>
      <c r="E58" s="46" t="str">
        <f>[25]Cumplimiento!$B$7</f>
        <v>Auditoría Interna Programa de Auditoria para el Mejoramiento de Calidad (PAMEC) 2022</v>
      </c>
      <c r="F58" s="49" t="s">
        <v>94</v>
      </c>
      <c r="G58" s="39" t="s">
        <v>95</v>
      </c>
      <c r="H58" s="39" t="s">
        <v>92</v>
      </c>
      <c r="I58" s="75">
        <v>44705</v>
      </c>
      <c r="J58" s="53"/>
      <c r="K58" s="8">
        <f>VLOOKUP(E58,[25]Cumplimiento!$B$7:$P$30,2,FALSE)</f>
        <v>4</v>
      </c>
      <c r="L58" s="6" t="str">
        <f>VLOOKUP(E58,[25]Cumplimiento!$B$7:$P$30,5,FALSE)</f>
        <v>SI</v>
      </c>
      <c r="M58" s="8">
        <f>VLOOKUP(E58,[25]Cumplimiento!$B$7:$P$30,6,FALSE)</f>
        <v>0</v>
      </c>
      <c r="N58" s="9">
        <f>VLOOKUP(E58,[25]Cumplimiento!$B$7:$P$30,4,FALSE)</f>
        <v>0</v>
      </c>
      <c r="O58" s="6">
        <f>VLOOKUP(E58,[25]Cumplimiento!$B$7:$P$30,7,FALSE)</f>
        <v>5</v>
      </c>
      <c r="P58" s="115">
        <f>VLOOKUP(E58,[25]Cumplimiento!$B$7:$P$30,8,FALSE)</f>
        <v>0</v>
      </c>
      <c r="Q58" s="116">
        <f>VLOOKUP(E58,[25]Cumplimiento!$B$7:$P$30,9,FALSE)</f>
        <v>0</v>
      </c>
      <c r="R58" s="116">
        <f>VLOOKUP(E58,[25]Cumplimiento!$B$7:$P$30,10,FALSE)</f>
        <v>0</v>
      </c>
      <c r="S58" s="117">
        <f>VLOOKUP(E58,[25]Cumplimiento!$B$7:$P$30,11,FALSE)</f>
        <v>5</v>
      </c>
      <c r="T58" s="14">
        <f>VLOOKUP(E58,[25]Cumplimiento!$B$7:$P$30,3,FALSE)</f>
        <v>0</v>
      </c>
      <c r="U58" s="42" t="str">
        <f>IF(E58="","",IFERROR(P58/(SUM(P58,Q58,R58)),"-"))</f>
        <v>-</v>
      </c>
      <c r="V58" s="42" t="str">
        <f>IF(E58="","",IFERROR(Q58/(SUM(P58,Q58,R58)),"-"))</f>
        <v>-</v>
      </c>
      <c r="W58" s="42" t="str">
        <f>IF(E58="","",IFERROR(R58/(SUM(P58,Q58,R58)),"-"))</f>
        <v>-</v>
      </c>
      <c r="X58" s="45">
        <f>IF(E58="","",IFERROR(T58/K58,"-"))</f>
        <v>0</v>
      </c>
    </row>
    <row r="59" spans="2:35" s="29" customFormat="1" ht="33" customHeight="1">
      <c r="B59" s="50">
        <v>2022</v>
      </c>
      <c r="C59" s="49" t="s">
        <v>143</v>
      </c>
      <c r="D59" s="49" t="s">
        <v>144</v>
      </c>
      <c r="E59" s="46" t="str">
        <f>[17]Cumplimiento!$B$14</f>
        <v>Auditoría Interna Procedimiento Control de Inventarios Bienes de Consumo - Instructivo Legalización Donaciones 2022</v>
      </c>
      <c r="F59" s="49" t="s">
        <v>70</v>
      </c>
      <c r="G59" s="39" t="s">
        <v>40</v>
      </c>
      <c r="H59" s="39" t="s">
        <v>41</v>
      </c>
      <c r="I59" s="178">
        <v>44715</v>
      </c>
      <c r="J59" s="53"/>
      <c r="K59" s="43">
        <f>VLOOKUP(E59,[17]Cumplimiento!$B$6:$P$30,2,FALSE)</f>
        <v>1</v>
      </c>
      <c r="L59" s="47" t="str">
        <f>VLOOKUP(E59,[17]Cumplimiento!$B$6:$P$30,5,FALSE)</f>
        <v>NO</v>
      </c>
      <c r="M59" s="43" t="str">
        <f>VLOOKUP(E59,[17]Cumplimiento!$B$6:$P$30,6,FALSE)</f>
        <v/>
      </c>
      <c r="N59" s="44">
        <f>VLOOKUP(E59,[17]Cumplimiento!$B$6:$P$30,4,FALSE)</f>
        <v>0</v>
      </c>
      <c r="O59" s="67">
        <f>VLOOKUP(E59,[17]Cumplimiento!$B$6:$P$30,7,FALSE)</f>
        <v>0</v>
      </c>
      <c r="P59" s="70">
        <f>VLOOKUP(E59,[17]Cumplimiento!$B$6:$P$30,8,FALSE)</f>
        <v>0</v>
      </c>
      <c r="Q59" s="71">
        <f>VLOOKUP(E59,[17]Cumplimiento!$B$6:$P$30,9,FALSE)</f>
        <v>0</v>
      </c>
      <c r="R59" s="71">
        <f>VLOOKUP(E59,[17]Cumplimiento!$B$6:$P$30,10,FALSE)</f>
        <v>0</v>
      </c>
      <c r="S59" s="72">
        <f>VLOOKUP(E59,[17]Cumplimiento!$B$6:$P$30,11,FALSE)</f>
        <v>0</v>
      </c>
      <c r="T59" s="67">
        <f>VLOOKUP(E59,[17]Cumplimiento!$B$6:$P$30,3,FALSE)</f>
        <v>0</v>
      </c>
      <c r="U59" s="42" t="str">
        <f>IF(E59="","",IFERROR(P59/(SUM(P59,Q59,R59)),"-"))</f>
        <v>-</v>
      </c>
      <c r="V59" s="42" t="str">
        <f>IF(E59="","",IFERROR(Q59/(SUM(P59,Q59,R59)),"-"))</f>
        <v>-</v>
      </c>
      <c r="W59" s="42" t="str">
        <f>IF(E59="","",IFERROR(R59/(SUM(P59,Q59,R59)),"-"))</f>
        <v>-</v>
      </c>
      <c r="X59" s="45">
        <f>IF(E59="","",IFERROR(T59/K59,"-"))</f>
        <v>0</v>
      </c>
      <c r="AI59" s="30">
        <f>SUM(P59:S59)</f>
        <v>0</v>
      </c>
    </row>
    <row r="60" spans="2:35" s="29" customFormat="1" ht="33" customHeight="1">
      <c r="B60" s="50">
        <v>2022</v>
      </c>
      <c r="C60" s="49" t="s">
        <v>138</v>
      </c>
      <c r="D60" s="49" t="s">
        <v>139</v>
      </c>
      <c r="E60" s="46" t="str">
        <f>[17]Cumplimiento!$B$15</f>
        <v>Auditoría Interna Gestión de Bienes Muebles, Traslados y Reintegros 2022</v>
      </c>
      <c r="F60" s="49" t="s">
        <v>10</v>
      </c>
      <c r="G60" s="39" t="s">
        <v>40</v>
      </c>
      <c r="H60" s="39" t="s">
        <v>41</v>
      </c>
      <c r="I60" s="178">
        <v>44728</v>
      </c>
      <c r="J60" s="53"/>
      <c r="K60" s="43">
        <f>VLOOKUP(E60,[17]Cumplimiento!$B$6:$P$30,2,FALSE)</f>
        <v>1</v>
      </c>
      <c r="L60" s="47" t="str">
        <f>VLOOKUP(E60,[17]Cumplimiento!$B$6:$P$30,5,FALSE)</f>
        <v>NO</v>
      </c>
      <c r="M60" s="43" t="str">
        <f>VLOOKUP(E60,[17]Cumplimiento!$B$6:$P$30,6,FALSE)</f>
        <v/>
      </c>
      <c r="N60" s="44">
        <f>VLOOKUP(E60,[17]Cumplimiento!$B$6:$P$30,4,FALSE)</f>
        <v>0</v>
      </c>
      <c r="O60" s="67">
        <f>VLOOKUP(E60,[17]Cumplimiento!$B$6:$P$30,7,FALSE)</f>
        <v>0</v>
      </c>
      <c r="P60" s="70">
        <f>VLOOKUP(E60,[17]Cumplimiento!$B$6:$P$30,8,FALSE)</f>
        <v>0</v>
      </c>
      <c r="Q60" s="71">
        <f>VLOOKUP(E60,[17]Cumplimiento!$B$6:$P$30,9,FALSE)</f>
        <v>0</v>
      </c>
      <c r="R60" s="71">
        <f>VLOOKUP(E60,[17]Cumplimiento!$B$6:$P$30,10,FALSE)</f>
        <v>0</v>
      </c>
      <c r="S60" s="72">
        <f>VLOOKUP(E60,[17]Cumplimiento!$B$6:$P$30,11,FALSE)</f>
        <v>0</v>
      </c>
      <c r="T60" s="67">
        <f>VLOOKUP(E60,[17]Cumplimiento!$B$6:$P$30,3,FALSE)</f>
        <v>0</v>
      </c>
      <c r="U60" s="42" t="str">
        <f t="shared" si="2"/>
        <v>-</v>
      </c>
      <c r="V60" s="42" t="str">
        <f t="shared" si="3"/>
        <v>-</v>
      </c>
      <c r="W60" s="42" t="str">
        <f t="shared" si="4"/>
        <v>-</v>
      </c>
      <c r="X60" s="45">
        <f t="shared" si="0"/>
        <v>0</v>
      </c>
      <c r="AI60" s="30">
        <f t="shared" ref="AI60" si="12">SUM(P60:S60)</f>
        <v>0</v>
      </c>
    </row>
    <row r="61" spans="2:35" s="29" customFormat="1" ht="33" customHeight="1">
      <c r="B61" s="50">
        <v>2022</v>
      </c>
      <c r="C61" s="49" t="s">
        <v>270</v>
      </c>
      <c r="D61" s="49" t="s">
        <v>147</v>
      </c>
      <c r="E61" s="46" t="str">
        <f>[17]Cumplimiento!$B$16</f>
        <v>Auditoría Interna Aseguramiento de bienes muebles 2022</v>
      </c>
      <c r="F61" s="49" t="s">
        <v>148</v>
      </c>
      <c r="G61" s="39" t="s">
        <v>40</v>
      </c>
      <c r="H61" s="39" t="s">
        <v>41</v>
      </c>
      <c r="I61" s="178">
        <v>44783</v>
      </c>
      <c r="J61" s="53"/>
      <c r="K61" s="43">
        <f>VLOOKUP(E61,[17]Cumplimiento!$B$6:$P$30,2,FALSE)</f>
        <v>4</v>
      </c>
      <c r="L61" s="47" t="str">
        <f>VLOOKUP(E61,[17]Cumplimiento!$B$6:$P$30,5,FALSE)</f>
        <v>NO</v>
      </c>
      <c r="M61" s="43" t="str">
        <f>VLOOKUP(E61,[17]Cumplimiento!$B$6:$P$30,6,FALSE)</f>
        <v/>
      </c>
      <c r="N61" s="44">
        <f>VLOOKUP(E61,[17]Cumplimiento!$B$6:$P$30,4,FALSE)</f>
        <v>0</v>
      </c>
      <c r="O61" s="67">
        <f>VLOOKUP(E61,[17]Cumplimiento!$B$6:$P$30,7,FALSE)</f>
        <v>0</v>
      </c>
      <c r="P61" s="70">
        <f>VLOOKUP(E61,[17]Cumplimiento!$B$6:$P$30,8,FALSE)</f>
        <v>0</v>
      </c>
      <c r="Q61" s="71">
        <f>VLOOKUP(E61,[17]Cumplimiento!$B$6:$P$30,9,FALSE)</f>
        <v>0</v>
      </c>
      <c r="R61" s="71">
        <f>VLOOKUP(E61,[17]Cumplimiento!$B$6:$P$30,10,FALSE)</f>
        <v>0</v>
      </c>
      <c r="S61" s="72">
        <f>VLOOKUP(E61,[17]Cumplimiento!$B$6:$P$30,11,FALSE)</f>
        <v>0</v>
      </c>
      <c r="T61" s="67">
        <f>VLOOKUP(E61,[17]Cumplimiento!$B$6:$P$30,3,FALSE)</f>
        <v>0</v>
      </c>
      <c r="U61" s="42" t="str">
        <f>IF(E61="","",IFERROR(P61/(SUM(P61,Q61,R61)),"-"))</f>
        <v>-</v>
      </c>
      <c r="V61" s="42" t="str">
        <f>IF(E61="","",IFERROR(Q61/(SUM(P61,Q61,R61)),"-"))</f>
        <v>-</v>
      </c>
      <c r="W61" s="42" t="str">
        <f>IF(E61="","",IFERROR(R61/(SUM(P61,Q61,R61)),"-"))</f>
        <v>-</v>
      </c>
      <c r="X61" s="45">
        <f>IF(E61="","",IFERROR(T61/K61,"-"))</f>
        <v>0</v>
      </c>
      <c r="AI61" s="30">
        <f>SUM(P61:S61)</f>
        <v>0</v>
      </c>
    </row>
    <row r="62" spans="2:35" s="29" customFormat="1" ht="33" customHeight="1">
      <c r="B62" s="50">
        <v>2022</v>
      </c>
      <c r="C62" s="49" t="s">
        <v>156</v>
      </c>
      <c r="D62" s="49" t="s">
        <v>57</v>
      </c>
      <c r="E62" s="46" t="str">
        <f>[8]Cumplimiento!$B$14</f>
        <v>Auditoría Interna Cajas Menores 2022</v>
      </c>
      <c r="F62" s="49" t="s">
        <v>104</v>
      </c>
      <c r="G62" s="39" t="s">
        <v>35</v>
      </c>
      <c r="H62" s="39" t="s">
        <v>36</v>
      </c>
      <c r="I62" s="10">
        <v>44824</v>
      </c>
      <c r="J62" s="53"/>
      <c r="K62" s="43">
        <f>VLOOKUP(E62,[8]Cumplimiento!$B$6:$P$30,2,FALSE)</f>
        <v>4</v>
      </c>
      <c r="L62" s="47" t="str">
        <f>VLOOKUP(E62,[8]Cumplimiento!$B$6:$P$30,5,FALSE)</f>
        <v>NO</v>
      </c>
      <c r="M62" s="67" t="str">
        <f>VLOOKUP(E62,[8]Cumplimiento!$B$6:$P$30,6,FALSE)</f>
        <v/>
      </c>
      <c r="N62" s="44">
        <f>_xlfn.IFNA(VLOOKUP(E62,[8]Cumplimiento!$B$6:$P$30,4,FALSE),"-")</f>
        <v>0</v>
      </c>
      <c r="O62" s="67">
        <f>VLOOKUP(E62,[8]Cumplimiento!$B$6:$P$30,7,FALSE)</f>
        <v>0</v>
      </c>
      <c r="P62" s="70">
        <f>VLOOKUP(E62,[8]Cumplimiento!$B$6:$P$30,8,FALSE)</f>
        <v>0</v>
      </c>
      <c r="Q62" s="71">
        <f>VLOOKUP(E62,[8]Cumplimiento!$B$6:$P$25,9,FALSE)</f>
        <v>0</v>
      </c>
      <c r="R62" s="71">
        <f>VLOOKUP(E62,[8]Cumplimiento!$B$6:$P$25,10,FALSE)</f>
        <v>0</v>
      </c>
      <c r="S62" s="72">
        <f>VLOOKUP(E62,[8]Cumplimiento!$B$6:$P$25,11,FALSE)</f>
        <v>0</v>
      </c>
      <c r="T62" s="67">
        <f>VLOOKUP(E62,[8]Cumplimiento!$B$6:$P$25,3,FALSE)</f>
        <v>0</v>
      </c>
      <c r="U62" s="42" t="str">
        <f>IF(E62="","",IFERROR(P62/(SUM(P62,Q62,R62)),"-"))</f>
        <v>-</v>
      </c>
      <c r="V62" s="42" t="str">
        <f>IF(E62="","",IFERROR(Q62/(SUM(P62,Q62,R62)),"-"))</f>
        <v>-</v>
      </c>
      <c r="W62" s="42" t="str">
        <f>IF(E62="","",IFERROR(R62/(SUM(P62,Q62,R62)),"-"))</f>
        <v>-</v>
      </c>
      <c r="X62" s="45">
        <f>IF(E62="","",IFERROR(T62/K62,"-"))</f>
        <v>0</v>
      </c>
      <c r="AI62" s="30">
        <f>SUM(P62:S62)</f>
        <v>0</v>
      </c>
    </row>
    <row r="63" spans="2:35" s="29" customFormat="1" ht="33" customHeight="1">
      <c r="B63" s="50">
        <v>2022</v>
      </c>
      <c r="C63" s="49" t="s">
        <v>149</v>
      </c>
      <c r="D63" s="49" t="s">
        <v>150</v>
      </c>
      <c r="E63" s="46" t="str">
        <f>[29]Cumplimiento!$B$6</f>
        <v>Auditoría Interna Componente Comunicación organizacional 2022</v>
      </c>
      <c r="F63" s="49" t="s">
        <v>94</v>
      </c>
      <c r="G63" s="39" t="s">
        <v>151</v>
      </c>
      <c r="H63" s="39" t="s">
        <v>152</v>
      </c>
      <c r="I63" s="75">
        <v>44840</v>
      </c>
      <c r="J63" s="53"/>
      <c r="K63" s="8">
        <f>VLOOKUP(E63,[29]Cumplimiento!$B$6:$P$30,2,FALSE)</f>
        <v>5</v>
      </c>
      <c r="L63" s="6" t="str">
        <f>VLOOKUP(E63,[29]Cumplimiento!$B$6:$P$30,5,FALSE)</f>
        <v>NO</v>
      </c>
      <c r="M63" s="8" t="str">
        <f>VLOOKUP(E63,[29]Cumplimiento!$B$6:$P$30,6,FALSE)</f>
        <v/>
      </c>
      <c r="N63" s="9">
        <f>VLOOKUP(E63,[29]Cumplimiento!$B$6:$P$30,4,FALSE)</f>
        <v>0</v>
      </c>
      <c r="O63" s="6">
        <f>VLOOKUP(E63,[29]Cumplimiento!$B$6:$P$30,7,FALSE)</f>
        <v>0</v>
      </c>
      <c r="P63" s="115">
        <f>VLOOKUP(E63,[29]Cumplimiento!$B$6:$P$30,8,FALSE)</f>
        <v>0</v>
      </c>
      <c r="Q63" s="116">
        <f>VLOOKUP(E63,[29]Cumplimiento!$B$6:$P$30,9,FALSE)</f>
        <v>0</v>
      </c>
      <c r="R63" s="116">
        <f>VLOOKUP(E63,[29]Cumplimiento!$B$6:$P$30,10,FALSE)</f>
        <v>0</v>
      </c>
      <c r="S63" s="117">
        <f>VLOOKUP(E63,[29]Cumplimiento!$B$6:$P$30,11,FALSE)</f>
        <v>0</v>
      </c>
      <c r="T63" s="14">
        <f>VLOOKUP(E63,[29]Cumplimiento!$B$6:$P$30,3,FALSE)</f>
        <v>0</v>
      </c>
      <c r="U63" s="42" t="str">
        <f>IF(E63="","",IFERROR(P63/(SUM(P63,Q63,R63)),"-"))</f>
        <v>-</v>
      </c>
      <c r="V63" s="42" t="str">
        <f>IF(E63="","",IFERROR(Q63/(SUM(P63,Q63,R63)),"-"))</f>
        <v>-</v>
      </c>
      <c r="W63" s="42" t="str">
        <f>IF(E63="","",IFERROR(R63/(SUM(P63,Q63,R63)),"-"))</f>
        <v>-</v>
      </c>
      <c r="X63" s="45">
        <f>IF(E63="","",IFERROR(T63/K63,"-"))</f>
        <v>0</v>
      </c>
    </row>
    <row r="64" spans="2:35" s="29" customFormat="1" ht="33" customHeight="1">
      <c r="B64" s="50">
        <v>2022</v>
      </c>
      <c r="C64" s="49" t="s">
        <v>145</v>
      </c>
      <c r="D64" s="49" t="s">
        <v>146</v>
      </c>
      <c r="E64" s="46" t="str">
        <f>[28]Cumplimiento!$B$8</f>
        <v>Auditoría Interna Cumplimiento contrato interadministrativo para operar la ruta de promoción y mantenimiento de la salud - MAITE 2022</v>
      </c>
      <c r="F64" s="49" t="s">
        <v>10</v>
      </c>
      <c r="G64" s="39" t="s">
        <v>127</v>
      </c>
      <c r="H64" s="39" t="s">
        <v>128</v>
      </c>
      <c r="I64" s="75">
        <v>44841</v>
      </c>
      <c r="J64" s="53"/>
      <c r="K64" s="43">
        <f>VLOOKUP(E64,[28]Cumplimiento!$B$6:$P$30,2,FALSE)</f>
        <v>1</v>
      </c>
      <c r="L64" s="47" t="str">
        <f>VLOOKUP(E64,[28]Cumplimiento!$B$6:$P$30,5,FALSE)</f>
        <v>NO</v>
      </c>
      <c r="M64" s="43" t="str">
        <f>VLOOKUP(E64,[28]Cumplimiento!$B$6:$P$30,6,FALSE)</f>
        <v/>
      </c>
      <c r="N64" s="44">
        <f>VLOOKUP(E64,[28]Cumplimiento!$B$6:$P$30,4,FALSE)</f>
        <v>0</v>
      </c>
      <c r="O64" s="67">
        <f>VLOOKUP(E64,[28]Cumplimiento!$B$6:$P$30,7,FALSE)</f>
        <v>0</v>
      </c>
      <c r="P64" s="70">
        <f>VLOOKUP(E64,[28]Cumplimiento!$B$6:$P$30,8,FALSE)</f>
        <v>0</v>
      </c>
      <c r="Q64" s="71">
        <f>VLOOKUP(E64,[28]Cumplimiento!$B$6:$P$10,9,FALSE)</f>
        <v>0</v>
      </c>
      <c r="R64" s="71">
        <f>VLOOKUP(E64,[28]Cumplimiento!$B$6:$P$10,10,FALSE)</f>
        <v>0</v>
      </c>
      <c r="S64" s="72">
        <f>VLOOKUP(E64,[28]Cumplimiento!$B$6:$P$10,11,FALSE)</f>
        <v>0</v>
      </c>
      <c r="T64" s="67">
        <f>VLOOKUP(E64,[28]Cumplimiento!$B$6:$P$10,3,FALSE)</f>
        <v>0</v>
      </c>
      <c r="U64" s="42" t="str">
        <f t="shared" si="2"/>
        <v>-</v>
      </c>
      <c r="V64" s="42" t="str">
        <f t="shared" si="3"/>
        <v>-</v>
      </c>
      <c r="W64" s="42" t="str">
        <f t="shared" si="4"/>
        <v>-</v>
      </c>
      <c r="X64" s="45">
        <f t="shared" si="0"/>
        <v>0</v>
      </c>
    </row>
    <row r="65" spans="2:35" s="29" customFormat="1" ht="33" customHeight="1">
      <c r="B65" s="50">
        <v>2022</v>
      </c>
      <c r="C65" s="49" t="s">
        <v>137</v>
      </c>
      <c r="D65" s="49" t="s">
        <v>97</v>
      </c>
      <c r="E65" s="46" t="str">
        <f>[8]Cumplimiento!$B$15</f>
        <v>Auditoría Interna Instructivo Cuadre de Caja 2022-2</v>
      </c>
      <c r="F65" s="49" t="s">
        <v>104</v>
      </c>
      <c r="G65" s="39" t="s">
        <v>35</v>
      </c>
      <c r="H65" s="39" t="s">
        <v>36</v>
      </c>
      <c r="I65" s="10">
        <v>44868</v>
      </c>
      <c r="J65" s="53"/>
      <c r="K65" s="43">
        <f>VLOOKUP(E65,[8]Cumplimiento!$B$6:$P$30,2,FALSE)</f>
        <v>3</v>
      </c>
      <c r="L65" s="47" t="str">
        <f>VLOOKUP(E65,[8]Cumplimiento!$B$6:$P$30,5,FALSE)</f>
        <v>NO</v>
      </c>
      <c r="M65" s="67" t="str">
        <f>VLOOKUP(E65,[8]Cumplimiento!$B$6:$P$30,6,FALSE)</f>
        <v/>
      </c>
      <c r="N65" s="44">
        <f>_xlfn.IFNA(VLOOKUP(E65,[8]Cumplimiento!$B$6:$P$30,4,FALSE),"-")</f>
        <v>0</v>
      </c>
      <c r="O65" s="67">
        <f>VLOOKUP(E65,[8]Cumplimiento!$B$6:$P$30,7,FALSE)</f>
        <v>0</v>
      </c>
      <c r="P65" s="70">
        <f>VLOOKUP(E65,[8]Cumplimiento!$B$6:$P$30,8,FALSE)</f>
        <v>0</v>
      </c>
      <c r="Q65" s="71">
        <f>VLOOKUP(E65,[8]Cumplimiento!$B$6:$P$25,9,FALSE)</f>
        <v>0</v>
      </c>
      <c r="R65" s="71">
        <f>VLOOKUP(E65,[8]Cumplimiento!$B$6:$P$25,10,FALSE)</f>
        <v>0</v>
      </c>
      <c r="S65" s="72">
        <f>VLOOKUP(E65,[8]Cumplimiento!$B$6:$P$25,11,FALSE)</f>
        <v>0</v>
      </c>
      <c r="T65" s="67">
        <f>VLOOKUP(E65,[8]Cumplimiento!$B$6:$P$25,3,FALSE)</f>
        <v>0</v>
      </c>
      <c r="U65" s="42" t="str">
        <f>IF(E65="","",IFERROR(P65/(SUM(P65,Q65,R65)),"-"))</f>
        <v>-</v>
      </c>
      <c r="V65" s="42" t="str">
        <f>IF(E65="","",IFERROR(Q65/(SUM(P65,Q65,R65)),"-"))</f>
        <v>-</v>
      </c>
      <c r="W65" s="42" t="str">
        <f>IF(E65="","",IFERROR(R65/(SUM(P65,Q65,R65)),"-"))</f>
        <v>-</v>
      </c>
      <c r="X65" s="45">
        <f>IF(E65="","",IFERROR(T65/K65,"-"))</f>
        <v>0</v>
      </c>
      <c r="AA65" s="29" t="s">
        <v>209</v>
      </c>
      <c r="AD65" s="29" t="e">
        <f>SUM(1/COUNTIF(#REF!,#REF!))</f>
        <v>#REF!</v>
      </c>
      <c r="AI65" s="30">
        <f>SUM(P65:S65)</f>
        <v>0</v>
      </c>
    </row>
    <row r="66" spans="2:35" s="29" customFormat="1" ht="33" customHeight="1">
      <c r="B66" s="50">
        <v>2022</v>
      </c>
      <c r="C66" s="49" t="s">
        <v>153</v>
      </c>
      <c r="D66" s="49" t="s">
        <v>154</v>
      </c>
      <c r="E66" s="48" t="str">
        <f>[13]Cumplimiento!$B$8</f>
        <v>Auditoría Interna Gestión de los Medicamentos de Control Especial en las UH de la ESE Metrosalud 2022</v>
      </c>
      <c r="F66" s="49" t="s">
        <v>155</v>
      </c>
      <c r="G66" s="39" t="s">
        <v>11</v>
      </c>
      <c r="H66" s="39" t="s">
        <v>22</v>
      </c>
      <c r="I66" s="75">
        <v>44890</v>
      </c>
      <c r="J66" s="53"/>
      <c r="K66" s="8">
        <f>VLOOKUP(E66,[13]Cumplimiento!$B$6:$P$30,2,FALSE)</f>
        <v>1</v>
      </c>
      <c r="L66" s="6" t="str">
        <f>VLOOKUP(E66,[13]Cumplimiento!$B$6:$P$30,5,FALSE)</f>
        <v>NO</v>
      </c>
      <c r="M66" s="8" t="str">
        <f>VLOOKUP(E66,[13]Cumplimiento!$B$6:$P$30,6,FALSE)</f>
        <v/>
      </c>
      <c r="N66" s="9">
        <f>VLOOKUP(E66,[13]Cumplimiento!$B$6:$P$30,4,FALSE)</f>
        <v>0</v>
      </c>
      <c r="O66" s="6">
        <f>VLOOKUP(E66,[13]Cumplimiento!$B$6:$P$30,7,FALSE)</f>
        <v>0</v>
      </c>
      <c r="P66" s="115">
        <f>VLOOKUP(E66,[13]Cumplimiento!$B$6:$P$30,8,FALSE)</f>
        <v>0</v>
      </c>
      <c r="Q66" s="116">
        <f>VLOOKUP(E66,[13]Cumplimiento!$B$6:$P$30,9,FALSE)</f>
        <v>0</v>
      </c>
      <c r="R66" s="116">
        <f>VLOOKUP(E66,[13]Cumplimiento!$B$6:$P$30,10,FALSE)</f>
        <v>0</v>
      </c>
      <c r="S66" s="117">
        <f>VLOOKUP(E66,[13]Cumplimiento!$B$6:$P$30,11,FALSE)</f>
        <v>0</v>
      </c>
      <c r="T66" s="14">
        <f>VLOOKUP(E66,[13]Cumplimiento!$B$6:$P$30,3,FALSE)</f>
        <v>0</v>
      </c>
      <c r="U66" s="42" t="str">
        <f t="shared" si="2"/>
        <v>-</v>
      </c>
      <c r="V66" s="42" t="str">
        <f t="shared" si="3"/>
        <v>-</v>
      </c>
      <c r="W66" s="42" t="str">
        <f t="shared" si="4"/>
        <v>-</v>
      </c>
      <c r="X66" s="45">
        <f t="shared" si="0"/>
        <v>0</v>
      </c>
      <c r="AA66" s="29" t="e">
        <f t="array" ref="AA66">SUMPRODUCT((('[16]PM Atención Ambulatoria'!B9:B11=E16))/COUNTIFS('[16]PM Atención Ambulatoria'!B9:B11,'[16]PM Atención Ambulatoria'!B9:B11&amp;"",'[16]PM Atención Ambulatoria'!E9:E11,'[16]PM Atención Ambulatoria'!E9:E11&amp;""))</f>
        <v>#VALUE!</v>
      </c>
      <c r="AI66" s="30">
        <f t="shared" ref="AI66:AI71" si="13">SUM(P66:S66)</f>
        <v>0</v>
      </c>
    </row>
    <row r="67" spans="2:35" s="29" customFormat="1" ht="33" customHeight="1">
      <c r="B67" s="50">
        <v>2023</v>
      </c>
      <c r="C67" s="49" t="s">
        <v>157</v>
      </c>
      <c r="D67" s="49" t="s">
        <v>158</v>
      </c>
      <c r="E67" s="46" t="str">
        <f>[8]Cumplimiento!$B$16</f>
        <v>Auditoría Interna Verificación a los Cuadres de Cajas de las UH 2023-1</v>
      </c>
      <c r="F67" s="49" t="s">
        <v>159</v>
      </c>
      <c r="G67" s="39" t="s">
        <v>35</v>
      </c>
      <c r="H67" s="39" t="s">
        <v>36</v>
      </c>
      <c r="I67" s="10">
        <v>44984</v>
      </c>
      <c r="J67" s="53"/>
      <c r="K67" s="43">
        <f>VLOOKUP(E67,[8]Cumplimiento!$B$6:$P$30,2,FALSE)</f>
        <v>8</v>
      </c>
      <c r="L67" s="47" t="str">
        <f>VLOOKUP(E67,[8]Cumplimiento!$B$6:$P$30,5,FALSE)</f>
        <v>NO</v>
      </c>
      <c r="M67" s="67" t="str">
        <f>VLOOKUP(E67,[8]Cumplimiento!$B$6:$P$30,6,FALSE)</f>
        <v/>
      </c>
      <c r="N67" s="44">
        <f>_xlfn.IFNA(VLOOKUP(E67,[8]Cumplimiento!$B$6:$P$30,4,FALSE),"-")</f>
        <v>0</v>
      </c>
      <c r="O67" s="67">
        <f>VLOOKUP(E67,[8]Cumplimiento!$B$6:$P$30,7,FALSE)</f>
        <v>0</v>
      </c>
      <c r="P67" s="70">
        <f>VLOOKUP(E67,[8]Cumplimiento!$B$6:$P$30,8,FALSE)</f>
        <v>0</v>
      </c>
      <c r="Q67" s="71">
        <f>VLOOKUP(E67,[8]Cumplimiento!$B$6:$P$25,9,FALSE)</f>
        <v>0</v>
      </c>
      <c r="R67" s="71">
        <f>VLOOKUP(E67,[8]Cumplimiento!$B$6:$P$25,10,FALSE)</f>
        <v>0</v>
      </c>
      <c r="S67" s="72">
        <f>VLOOKUP(E67,[8]Cumplimiento!$B$6:$P$25,11,FALSE)</f>
        <v>0</v>
      </c>
      <c r="T67" s="67">
        <f>VLOOKUP(E67,[8]Cumplimiento!$B$6:$P$25,3,FALSE)</f>
        <v>0</v>
      </c>
      <c r="U67" s="42" t="str">
        <f t="shared" si="2"/>
        <v>-</v>
      </c>
      <c r="V67" s="42" t="str">
        <f t="shared" si="3"/>
        <v>-</v>
      </c>
      <c r="W67" s="42" t="str">
        <f t="shared" si="4"/>
        <v>-</v>
      </c>
      <c r="X67" s="45">
        <f t="shared" si="0"/>
        <v>0</v>
      </c>
      <c r="AA67" s="34" t="e">
        <f>SUM(IF(ISTEXT('[16]PM Atención Ambulatoria'!#REF!),1/COUNTIF('[16]PM Atención Ambulatoria'!#REF!, '[16]PM Atención Ambulatoria'!#REF!),""))</f>
        <v>#VALUE!</v>
      </c>
      <c r="AI67" s="30">
        <f t="shared" si="13"/>
        <v>0</v>
      </c>
    </row>
    <row r="68" spans="2:35" s="29" customFormat="1" ht="33" customHeight="1">
      <c r="B68" s="50">
        <v>2023</v>
      </c>
      <c r="C68" s="49" t="s">
        <v>160</v>
      </c>
      <c r="D68" s="49" t="s">
        <v>161</v>
      </c>
      <c r="E68" s="48" t="str">
        <f>[13]Cumplimiento!$B$9</f>
        <v>Auditoría Interna Gestión Servicio Farmacéutico - Demanda no atendida 2023</v>
      </c>
      <c r="F68" s="49" t="s">
        <v>10</v>
      </c>
      <c r="G68" s="39" t="s">
        <v>11</v>
      </c>
      <c r="H68" s="39" t="s">
        <v>22</v>
      </c>
      <c r="I68" s="75">
        <v>44992</v>
      </c>
      <c r="J68" s="53"/>
      <c r="K68" s="8">
        <f>VLOOKUP(E68,[13]Cumplimiento!$B$6:$P$30,2,FALSE)</f>
        <v>1</v>
      </c>
      <c r="L68" s="6" t="str">
        <f>VLOOKUP(E68,[13]Cumplimiento!$B$6:$P$30,5,FALSE)</f>
        <v>NO</v>
      </c>
      <c r="M68" s="8" t="str">
        <f>VLOOKUP(E68,[13]Cumplimiento!$B$6:$P$30,6,FALSE)</f>
        <v/>
      </c>
      <c r="N68" s="9">
        <f>VLOOKUP(E68,[13]Cumplimiento!$B$6:$P$30,4,FALSE)</f>
        <v>0</v>
      </c>
      <c r="O68" s="6">
        <f>VLOOKUP(E68,[13]Cumplimiento!$B$6:$P$30,7,FALSE)</f>
        <v>0</v>
      </c>
      <c r="P68" s="115">
        <f>VLOOKUP(E68,[13]Cumplimiento!$B$6:$P$30,8,FALSE)</f>
        <v>0</v>
      </c>
      <c r="Q68" s="116">
        <f>VLOOKUP(E68,[13]Cumplimiento!$B$6:$P$30,9,FALSE)</f>
        <v>0</v>
      </c>
      <c r="R68" s="116">
        <f>VLOOKUP(E68,[13]Cumplimiento!$B$6:$P$30,10,FALSE)</f>
        <v>0</v>
      </c>
      <c r="S68" s="117">
        <f>VLOOKUP(E68,[13]Cumplimiento!$B$6:$P$30,11,FALSE)</f>
        <v>0</v>
      </c>
      <c r="T68" s="14">
        <f>VLOOKUP(E68,[13]Cumplimiento!$B$6:$P$30,3,FALSE)</f>
        <v>0</v>
      </c>
      <c r="U68" s="42" t="str">
        <f t="shared" si="2"/>
        <v>-</v>
      </c>
      <c r="V68" s="42" t="str">
        <f t="shared" si="3"/>
        <v>-</v>
      </c>
      <c r="W68" s="42" t="str">
        <f t="shared" si="4"/>
        <v>-</v>
      </c>
      <c r="X68" s="45">
        <f t="shared" si="0"/>
        <v>0</v>
      </c>
      <c r="AI68" s="30">
        <f t="shared" si="13"/>
        <v>0</v>
      </c>
    </row>
    <row r="69" spans="2:35" s="29" customFormat="1" ht="33" customHeight="1">
      <c r="B69" s="50">
        <v>2023</v>
      </c>
      <c r="C69" s="49" t="s">
        <v>164</v>
      </c>
      <c r="D69" s="49" t="s">
        <v>165</v>
      </c>
      <c r="E69" s="46" t="str">
        <f>[30]Cumplimiento!$B$6</f>
        <v>Auditoría Interna Tabla de indicadores del plan estratégico 2023</v>
      </c>
      <c r="F69" s="49" t="s">
        <v>166</v>
      </c>
      <c r="G69" s="39" t="s">
        <v>95</v>
      </c>
      <c r="H69" s="39" t="s">
        <v>142</v>
      </c>
      <c r="I69" s="75">
        <v>44995</v>
      </c>
      <c r="J69" s="53"/>
      <c r="K69" s="8">
        <f>VLOOKUP(E69,[30]Cumplimiento!$B$6:$P$30,2,FALSE)</f>
        <v>3</v>
      </c>
      <c r="L69" s="6" t="str">
        <f>VLOOKUP(E69,[30]Cumplimiento!$B$6:$P$30,5,FALSE)</f>
        <v>SI</v>
      </c>
      <c r="M69" s="8">
        <f>VLOOKUP(E69,[30]Cumplimiento!$B$6:$P$30,6,FALSE)</f>
        <v>0</v>
      </c>
      <c r="N69" s="9">
        <f>VLOOKUP(E69,[30]Cumplimiento!$B$6:$P$30,4,FALSE)</f>
        <v>0</v>
      </c>
      <c r="O69" s="6">
        <f>VLOOKUP(E69,[30]Cumplimiento!$B$6:$P$30,7,FALSE)</f>
        <v>6</v>
      </c>
      <c r="P69" s="115">
        <f>VLOOKUP(E69,[30]Cumplimiento!$B$6:$P$30,8,FALSE)</f>
        <v>0</v>
      </c>
      <c r="Q69" s="116">
        <f>VLOOKUP(E69,[30]Cumplimiento!$B$6:$P$10,9,FALSE)</f>
        <v>0</v>
      </c>
      <c r="R69" s="116">
        <f>VLOOKUP(E69,[30]Cumplimiento!$B$6:$P$10,10,FALSE)</f>
        <v>0</v>
      </c>
      <c r="S69" s="117">
        <f>VLOOKUP(E69,[30]Cumplimiento!$B$6:$P$10,11,FALSE)</f>
        <v>6</v>
      </c>
      <c r="T69" s="14">
        <f>VLOOKUP(E69,[30]Cumplimiento!$B$6:$P$10,3,FALSE)</f>
        <v>0</v>
      </c>
      <c r="U69" s="42" t="str">
        <f>IF(E69="","",IFERROR(P69/(SUM(P69,Q69,R69)),"-"))</f>
        <v>-</v>
      </c>
      <c r="V69" s="42" t="str">
        <f>IF(E69="","",IFERROR(Q69/(SUM(P69,Q69,R69)),"-"))</f>
        <v>-</v>
      </c>
      <c r="W69" s="42" t="str">
        <f>IF(E69="","",IFERROR(R69/(SUM(P69,Q69,R69)),"-"))</f>
        <v>-</v>
      </c>
      <c r="X69" s="45">
        <f>IF(E69="","",IFERROR(T69/K69,"-"))</f>
        <v>0</v>
      </c>
    </row>
    <row r="70" spans="2:35" s="29" customFormat="1" ht="33" customHeight="1">
      <c r="B70" s="50">
        <v>2023</v>
      </c>
      <c r="C70" s="49" t="s">
        <v>167</v>
      </c>
      <c r="D70" s="49" t="s">
        <v>43</v>
      </c>
      <c r="E70" s="39" t="str">
        <f>[10]Cumplimiento!$B$11</f>
        <v>Auditoría Interna Proceso Gestión Venta de Servicios 2023</v>
      </c>
      <c r="F70" s="49" t="s">
        <v>94</v>
      </c>
      <c r="G70" s="39" t="s">
        <v>45</v>
      </c>
      <c r="H70" s="39" t="s">
        <v>46</v>
      </c>
      <c r="I70" s="10">
        <v>45013</v>
      </c>
      <c r="J70" s="53"/>
      <c r="K70" s="43">
        <f>VLOOKUP(E70,[10]Cumplimiento!$B$6:$P$30,2,FALSE)</f>
        <v>6</v>
      </c>
      <c r="L70" s="47" t="str">
        <f>VLOOKUP(E70,[10]Cumplimiento!$B$6:$P$30,5,FALSE)</f>
        <v>SI</v>
      </c>
      <c r="M70" s="43">
        <f>VLOOKUP(E70,[10]Cumplimiento!$B$6:$P$30,6,FALSE)</f>
        <v>0</v>
      </c>
      <c r="N70" s="44">
        <f>VLOOKUP(E70,[10]Cumplimiento!$B$6:$P$30,4,FALSE)</f>
        <v>0</v>
      </c>
      <c r="O70" s="67">
        <f>VLOOKUP(E70,[10]Cumplimiento!$B$6:$P$30,7,FALSE)</f>
        <v>5</v>
      </c>
      <c r="P70" s="70">
        <f>VLOOKUP(E70,[10]Cumplimiento!$B$6:$P$30,8,FALSE)</f>
        <v>0</v>
      </c>
      <c r="Q70" s="71">
        <f>VLOOKUP(E70,[10]Cumplimiento!$B$6:$P$30,9,FALSE)</f>
        <v>0</v>
      </c>
      <c r="R70" s="71">
        <f>VLOOKUP(E70,[10]Cumplimiento!$B$6:$P$30,10,FALSE)</f>
        <v>0</v>
      </c>
      <c r="S70" s="72">
        <f>VLOOKUP(E70,[10]Cumplimiento!$B$6:$P$30,11,FALSE)</f>
        <v>5</v>
      </c>
      <c r="T70" s="67">
        <f>VLOOKUP(E70,[10]Cumplimiento!$B$6:$P$30,3,FALSE)</f>
        <v>0</v>
      </c>
      <c r="U70" s="42" t="str">
        <f>IF(E70="","",IFERROR(P70/(SUM(P70,Q70,R70)),"-"))</f>
        <v>-</v>
      </c>
      <c r="V70" s="42" t="str">
        <f>IF(E70="","",IFERROR(Q70/(SUM(P70,Q70,R70)),"-"))</f>
        <v>-</v>
      </c>
      <c r="W70" s="42" t="str">
        <f>IF(E70="","",IFERROR(R70/(SUM(P70,Q70,R70)),"-"))</f>
        <v>-</v>
      </c>
      <c r="X70" s="45">
        <f>IF(E70="","",IFERROR(T70/K70,"-"))</f>
        <v>0</v>
      </c>
      <c r="AI70" s="30">
        <f>SUM(P70:S70)</f>
        <v>5</v>
      </c>
    </row>
    <row r="71" spans="2:35" s="29" customFormat="1" ht="33" customHeight="1">
      <c r="B71" s="50">
        <v>2023</v>
      </c>
      <c r="C71" s="49" t="s">
        <v>331</v>
      </c>
      <c r="D71" s="49" t="s">
        <v>162</v>
      </c>
      <c r="E71" s="46" t="str">
        <f>[31]Cumplimiento!$B$6</f>
        <v>Auditoría Interna Auditoria integral UPSS 1 2023</v>
      </c>
      <c r="F71" s="49" t="s">
        <v>15</v>
      </c>
      <c r="G71" s="39" t="s">
        <v>11</v>
      </c>
      <c r="H71" s="39" t="s">
        <v>163</v>
      </c>
      <c r="I71" s="75">
        <v>45041</v>
      </c>
      <c r="J71" s="53"/>
      <c r="K71" s="8">
        <f>VLOOKUP(E71,[31]Cumplimiento!$B$6:$P$30,2,FALSE)</f>
        <v>8</v>
      </c>
      <c r="L71" s="6" t="str">
        <f>VLOOKUP(E71,[31]Cumplimiento!$B$6:$P$30,5,FALSE)</f>
        <v>NO</v>
      </c>
      <c r="M71" s="8" t="str">
        <f>VLOOKUP(E71,[31]Cumplimiento!$B$6:$P$30,6,FALSE)</f>
        <v/>
      </c>
      <c r="N71" s="9">
        <f>VLOOKUP(E71,[31]Cumplimiento!$B$6:$P$30,4,FALSE)</f>
        <v>0</v>
      </c>
      <c r="O71" s="6">
        <f>VLOOKUP(E71,[31]Cumplimiento!$B$6:$P$30,7,FALSE)</f>
        <v>0</v>
      </c>
      <c r="P71" s="115">
        <f>VLOOKUP(E71,[31]Cumplimiento!$B$6:$P$30,8,FALSE)</f>
        <v>0</v>
      </c>
      <c r="Q71" s="116">
        <f>VLOOKUP(E71,[31]Cumplimiento!$B$6:$P$30,9,FALSE)</f>
        <v>0</v>
      </c>
      <c r="R71" s="116">
        <f>VLOOKUP(E71,[31]Cumplimiento!$B$6:$P$30,10,FALSE)</f>
        <v>0</v>
      </c>
      <c r="S71" s="117">
        <f>VLOOKUP(E71,[31]Cumplimiento!$B$6:$P$30,11,FALSE)</f>
        <v>0</v>
      </c>
      <c r="T71" s="14">
        <f>VLOOKUP(E71,[31]Cumplimiento!$B$6:$P$30,3,FALSE)</f>
        <v>0</v>
      </c>
      <c r="U71" s="42" t="str">
        <f t="shared" si="2"/>
        <v>-</v>
      </c>
      <c r="V71" s="42" t="str">
        <f t="shared" si="3"/>
        <v>-</v>
      </c>
      <c r="W71" s="42" t="str">
        <f t="shared" si="4"/>
        <v>-</v>
      </c>
      <c r="X71" s="45">
        <f t="shared" ref="X71:X132" si="14">IF(E71="","",IFERROR(T71/K71,"-"))</f>
        <v>0</v>
      </c>
      <c r="AA71" s="29" t="s">
        <v>209</v>
      </c>
      <c r="AD71" s="29" t="e">
        <f>SUM(1/COUNTIF(#REF!,#REF!))</f>
        <v>#REF!</v>
      </c>
      <c r="AI71" s="30">
        <f t="shared" si="13"/>
        <v>0</v>
      </c>
    </row>
    <row r="72" spans="2:35" s="29" customFormat="1" ht="33" customHeight="1">
      <c r="B72" s="50">
        <v>2023</v>
      </c>
      <c r="C72" s="49" t="s">
        <v>168</v>
      </c>
      <c r="D72" s="49" t="s">
        <v>169</v>
      </c>
      <c r="E72" s="46" t="str">
        <f>[8]Cumplimiento!$B$17</f>
        <v>Auditoría Interna Proceso Gestión Financiera Tesorería 2023</v>
      </c>
      <c r="F72" s="49" t="s">
        <v>159</v>
      </c>
      <c r="G72" s="39" t="s">
        <v>35</v>
      </c>
      <c r="H72" s="39" t="s">
        <v>36</v>
      </c>
      <c r="I72" s="10">
        <v>45049</v>
      </c>
      <c r="J72" s="53"/>
      <c r="K72" s="43">
        <f>VLOOKUP(E72,[8]Cumplimiento!$B$6:$P$30,2,FALSE)</f>
        <v>9</v>
      </c>
      <c r="L72" s="47" t="str">
        <f>VLOOKUP(E72,[8]Cumplimiento!$B$6:$P$30,5,FALSE)</f>
        <v>NO</v>
      </c>
      <c r="M72" s="67" t="str">
        <f>VLOOKUP(E72,[8]Cumplimiento!$B$6:$P$30,6,FALSE)</f>
        <v/>
      </c>
      <c r="N72" s="44">
        <f>_xlfn.IFNA(VLOOKUP(E72,[8]Cumplimiento!$B$6:$P$30,4,FALSE),"-")</f>
        <v>0</v>
      </c>
      <c r="O72" s="67">
        <f>VLOOKUP(E72,[8]Cumplimiento!$B$6:$P$30,7,FALSE)</f>
        <v>0</v>
      </c>
      <c r="P72" s="70">
        <f>VLOOKUP(E72,[8]Cumplimiento!$B$6:$P$30,8,FALSE)</f>
        <v>0</v>
      </c>
      <c r="Q72" s="71">
        <f>VLOOKUP(E72,[8]Cumplimiento!$B$6:$P$25,9,FALSE)</f>
        <v>0</v>
      </c>
      <c r="R72" s="71">
        <f>VLOOKUP(E72,[8]Cumplimiento!$B$6:$P$25,10,FALSE)</f>
        <v>0</v>
      </c>
      <c r="S72" s="72">
        <f>VLOOKUP(E72,[8]Cumplimiento!$B$6:$P$25,11,FALSE)</f>
        <v>0</v>
      </c>
      <c r="T72" s="67">
        <f>VLOOKUP(E72,[8]Cumplimiento!$B$6:$P$25,3,FALSE)</f>
        <v>0</v>
      </c>
      <c r="U72" s="42" t="str">
        <f t="shared" ref="U72:U133" si="15">IF(E72="","",IFERROR(P72/(SUM(P72,Q72,R72)),"-"))</f>
        <v>-</v>
      </c>
      <c r="V72" s="42" t="str">
        <f t="shared" ref="V72:V133" si="16">IF(E72="","",IFERROR(Q72/(SUM(P72,Q72,R72)),"-"))</f>
        <v>-</v>
      </c>
      <c r="W72" s="42" t="str">
        <f t="shared" ref="W72:W133" si="17">IF(E72="","",IFERROR(R72/(SUM(P72,Q72,R72)),"-"))</f>
        <v>-</v>
      </c>
      <c r="X72" s="45">
        <f t="shared" si="14"/>
        <v>0</v>
      </c>
      <c r="AA72" s="34" t="e">
        <f>SUM(IF(ISTEXT('[16]PM Atención Ambulatoria'!#REF!),1/COUNTIF('[16]PM Atención Ambulatoria'!#REF!, '[16]PM Atención Ambulatoria'!#REF!),""))</f>
        <v>#VALUE!</v>
      </c>
      <c r="AI72" s="30">
        <f>SUM(P72:S72)</f>
        <v>0</v>
      </c>
    </row>
    <row r="73" spans="2:35" s="29" customFormat="1" ht="33" customHeight="1">
      <c r="B73" s="50">
        <v>2023</v>
      </c>
      <c r="C73" s="39" t="s">
        <v>283</v>
      </c>
      <c r="D73" s="39" t="s">
        <v>170</v>
      </c>
      <c r="E73" s="39" t="str">
        <f>[26]Cumplimiento!$B$7</f>
        <v>Auditoría Interna Seguimiento periódico a la contratación y supervisión de bienes y servicios 2023-1</v>
      </c>
      <c r="F73" s="49" t="s">
        <v>166</v>
      </c>
      <c r="G73" s="39" t="s">
        <v>105</v>
      </c>
      <c r="H73" s="39" t="s">
        <v>106</v>
      </c>
      <c r="I73" s="76">
        <v>45097</v>
      </c>
      <c r="J73" s="53"/>
      <c r="K73" s="8">
        <f>VLOOKUP(E73,[26]Cumplimiento!$B$6:$P$30,2,FALSE)</f>
        <v>4</v>
      </c>
      <c r="L73" s="6" t="str">
        <f>VLOOKUP(E73,[26]Cumplimiento!$B$6:$P$30,5,FALSE)</f>
        <v>NO</v>
      </c>
      <c r="M73" s="8" t="str">
        <f>VLOOKUP(E73,[26]Cumplimiento!$B$6:$P$30,6,FALSE)</f>
        <v/>
      </c>
      <c r="N73" s="9">
        <f>VLOOKUP(E73,[26]Cumplimiento!$B$6:$P$30,4,FALSE)</f>
        <v>0</v>
      </c>
      <c r="O73" s="6">
        <f>VLOOKUP(E73,[26]Cumplimiento!$B$6:$P$30,7,FALSE)</f>
        <v>0</v>
      </c>
      <c r="P73" s="115">
        <f>VLOOKUP(E73,[26]Cumplimiento!$B$6:$P$30,8,FALSE)</f>
        <v>0</v>
      </c>
      <c r="Q73" s="116">
        <f>VLOOKUP(E73,[26]Cumplimiento!$B$6:$P$10,9,FALSE)</f>
        <v>0</v>
      </c>
      <c r="R73" s="116">
        <f>VLOOKUP(E73,[26]Cumplimiento!$B$6:$P$10,10,FALSE)</f>
        <v>0</v>
      </c>
      <c r="S73" s="117">
        <f>VLOOKUP(E73,[26]Cumplimiento!$B$6:$P$10,11,FALSE)</f>
        <v>0</v>
      </c>
      <c r="T73" s="14">
        <f>VLOOKUP(E73,[26]Cumplimiento!$B$6:$P$10,3,FALSE)</f>
        <v>0</v>
      </c>
      <c r="U73" s="42" t="str">
        <f>IF(E73="","",IFERROR(P73/(SUM(P73,Q73,R73)),"-"))</f>
        <v>-</v>
      </c>
      <c r="V73" s="42" t="str">
        <f>IF(E73="","",IFERROR(Q73/(SUM(P73,Q73,R73)),"-"))</f>
        <v>-</v>
      </c>
      <c r="W73" s="42" t="str">
        <f>IF(E73="","",IFERROR(R73/(SUM(P73,Q73,R73)),"-"))</f>
        <v>-</v>
      </c>
      <c r="X73" s="45">
        <f>IF(E73="","",IFERROR(T73/K73,"-"))</f>
        <v>0</v>
      </c>
    </row>
    <row r="74" spans="2:35" s="29" customFormat="1" ht="33" customHeight="1">
      <c r="B74" s="50">
        <v>2023</v>
      </c>
      <c r="C74" s="39" t="s">
        <v>285</v>
      </c>
      <c r="D74" s="39" t="s">
        <v>170</v>
      </c>
      <c r="E74" s="39" t="str">
        <f>[26]Cumplimiento!$B$8</f>
        <v>Auditoría Interna Seguimiento periódico a la contratación y supervisión de bienes y servicios 2023-2</v>
      </c>
      <c r="F74" s="49" t="s">
        <v>171</v>
      </c>
      <c r="G74" s="39" t="s">
        <v>105</v>
      </c>
      <c r="H74" s="39" t="s">
        <v>106</v>
      </c>
      <c r="I74" s="76">
        <v>45112</v>
      </c>
      <c r="J74" s="53"/>
      <c r="K74" s="8">
        <f>VLOOKUP(E74,[26]Cumplimiento!$B$6:$P$30,2,FALSE)</f>
        <v>3</v>
      </c>
      <c r="L74" s="6" t="str">
        <f>VLOOKUP(E74,[26]Cumplimiento!$B$6:$P$30,5,FALSE)</f>
        <v>SI</v>
      </c>
      <c r="M74" s="8">
        <f>VLOOKUP(E74,[26]Cumplimiento!$B$6:$P$30,6,FALSE)</f>
        <v>0</v>
      </c>
      <c r="N74" s="9">
        <f>VLOOKUP(E74,[26]Cumplimiento!$B$6:$P$30,4,FALSE)</f>
        <v>0</v>
      </c>
      <c r="O74" s="6">
        <f>VLOOKUP(E74,[26]Cumplimiento!$B$6:$P$30,7,FALSE)</f>
        <v>6</v>
      </c>
      <c r="P74" s="115">
        <f>VLOOKUP(E74,[26]Cumplimiento!$B$6:$P$30,8,FALSE)</f>
        <v>0</v>
      </c>
      <c r="Q74" s="116">
        <f>VLOOKUP(E74,[26]Cumplimiento!$B$6:$P$10,9,FALSE)</f>
        <v>0</v>
      </c>
      <c r="R74" s="116">
        <f>VLOOKUP(E74,[26]Cumplimiento!$B$6:$P$10,10,FALSE)</f>
        <v>0</v>
      </c>
      <c r="S74" s="117">
        <f>VLOOKUP(E74,[26]Cumplimiento!$B$6:$P$10,11,FALSE)</f>
        <v>6</v>
      </c>
      <c r="T74" s="14">
        <f>VLOOKUP(E74,[26]Cumplimiento!$B$6:$P$10,3,FALSE)</f>
        <v>0</v>
      </c>
      <c r="U74" s="42" t="str">
        <f>IF(E74="","",IFERROR(P74/(SUM(P74,Q74,R74)),"-"))</f>
        <v>-</v>
      </c>
      <c r="V74" s="42" t="str">
        <f>IF(E74="","",IFERROR(Q74/(SUM(P74,Q74,R74)),"-"))</f>
        <v>-</v>
      </c>
      <c r="W74" s="42" t="str">
        <f>IF(E74="","",IFERROR(R74/(SUM(P74,Q74,R74)),"-"))</f>
        <v>-</v>
      </c>
      <c r="X74" s="45">
        <f>IF(E74="","",IFERROR(T74/K74,"-"))</f>
        <v>0</v>
      </c>
    </row>
    <row r="75" spans="2:35" s="29" customFormat="1" ht="33" customHeight="1">
      <c r="B75" s="50">
        <v>2023</v>
      </c>
      <c r="C75" s="49" t="s">
        <v>176</v>
      </c>
      <c r="D75" s="49" t="s">
        <v>176</v>
      </c>
      <c r="E75" s="46" t="str">
        <f>[8]Cumplimiento!$B$18</f>
        <v>Auditoría Interna Cajas Menores 2023</v>
      </c>
      <c r="F75" s="49" t="s">
        <v>159</v>
      </c>
      <c r="G75" s="39" t="s">
        <v>35</v>
      </c>
      <c r="H75" s="39" t="s">
        <v>36</v>
      </c>
      <c r="I75" s="10">
        <v>45119</v>
      </c>
      <c r="J75" s="53"/>
      <c r="K75" s="43">
        <f>VLOOKUP(E75,[8]Cumplimiento!$B$6:$P$30,2,FALSE)</f>
        <v>7</v>
      </c>
      <c r="L75" s="47" t="str">
        <f>VLOOKUP(E75,[8]Cumplimiento!$B$6:$P$30,5,FALSE)</f>
        <v>NO</v>
      </c>
      <c r="M75" s="67" t="str">
        <f>VLOOKUP(E75,[8]Cumplimiento!$B$6:$P$30,6,FALSE)</f>
        <v/>
      </c>
      <c r="N75" s="44">
        <f>_xlfn.IFNA(VLOOKUP(E75,[8]Cumplimiento!$B$6:$P$30,4,FALSE),"-")</f>
        <v>0</v>
      </c>
      <c r="O75" s="67">
        <f>VLOOKUP(E75,[8]Cumplimiento!$B$6:$P$30,7,FALSE)</f>
        <v>0</v>
      </c>
      <c r="P75" s="70">
        <f>VLOOKUP(E75,[8]Cumplimiento!$B$6:$P$30,8,FALSE)</f>
        <v>0</v>
      </c>
      <c r="Q75" s="71">
        <f>VLOOKUP(E75,[8]Cumplimiento!$B$6:$P$25,9,FALSE)</f>
        <v>0</v>
      </c>
      <c r="R75" s="71">
        <f>VLOOKUP(E75,[8]Cumplimiento!$B$6:$P$25,10,FALSE)</f>
        <v>0</v>
      </c>
      <c r="S75" s="72">
        <f>VLOOKUP(E75,[8]Cumplimiento!$B$6:$P$25,11,FALSE)</f>
        <v>0</v>
      </c>
      <c r="T75" s="67">
        <f>VLOOKUP(E75,[8]Cumplimiento!$B$6:$P$25,3,FALSE)</f>
        <v>0</v>
      </c>
      <c r="U75" s="42" t="str">
        <f>IF(E75="","",IFERROR(P75/(SUM(P75,Q75,R75)),"-"))</f>
        <v>-</v>
      </c>
      <c r="V75" s="42" t="str">
        <f>IF(E75="","",IFERROR(Q75/(SUM(P75,Q75,R75)),"-"))</f>
        <v>-</v>
      </c>
      <c r="W75" s="42" t="str">
        <f>IF(E75="","",IFERROR(R75/(SUM(P75,Q75,R75)),"-"))</f>
        <v>-</v>
      </c>
      <c r="X75" s="45">
        <f>IF(E75="","",IFERROR(T75/K75,"-"))</f>
        <v>0</v>
      </c>
      <c r="AA75" s="29">
        <f ca="1">COUNTA(UNICOS('[16]PM Atención Ambulatoria'!E:E))</f>
        <v>1</v>
      </c>
      <c r="AB75" s="29">
        <f>COUNTA(#REF!="")</f>
        <v>1</v>
      </c>
      <c r="AC75" s="29">
        <f>COUNTA('[16]PM Atención Ambulatoria'!#REF!)</f>
        <v>1</v>
      </c>
      <c r="AD75" s="32" t="e">
        <f t="array" ref="AD75">SUMPRODUCT(1/COUNTIF('[16]PM Atención Ambulatoria'!#REF!,'[16]PM Atención Ambulatoria'!#REF!))</f>
        <v>#REF!</v>
      </c>
      <c r="AI75" s="30">
        <f>SUM(P75:S75)</f>
        <v>0</v>
      </c>
    </row>
    <row r="76" spans="2:35" s="29" customFormat="1" ht="33" customHeight="1">
      <c r="B76" s="50">
        <v>2023</v>
      </c>
      <c r="C76" s="49" t="s">
        <v>330</v>
      </c>
      <c r="D76" s="49" t="s">
        <v>174</v>
      </c>
      <c r="E76" s="46" t="str">
        <f>[31]Cumplimiento!$B$7</f>
        <v>Auditoría Interna Auditoria integral UPSS 2 2023</v>
      </c>
      <c r="F76" s="49" t="s">
        <v>175</v>
      </c>
      <c r="G76" s="39" t="s">
        <v>11</v>
      </c>
      <c r="H76" s="39" t="s">
        <v>163</v>
      </c>
      <c r="I76" s="75">
        <v>45125</v>
      </c>
      <c r="J76" s="53"/>
      <c r="K76" s="8">
        <f>VLOOKUP(E76,[31]Cumplimiento!$B$6:$P$30,2,FALSE)</f>
        <v>5</v>
      </c>
      <c r="L76" s="6" t="str">
        <f>VLOOKUP(E76,[31]Cumplimiento!$B$6:$P$30,5,FALSE)</f>
        <v>NO</v>
      </c>
      <c r="M76" s="8" t="str">
        <f>VLOOKUP(E76,[31]Cumplimiento!$B$6:$P$30,6,FALSE)</f>
        <v/>
      </c>
      <c r="N76" s="9">
        <f>VLOOKUP(E76,[31]Cumplimiento!$B$6:$P$30,4,FALSE)</f>
        <v>0</v>
      </c>
      <c r="O76" s="6">
        <f>VLOOKUP(E76,[31]Cumplimiento!$B$6:$P$30,7,FALSE)</f>
        <v>0</v>
      </c>
      <c r="P76" s="115">
        <f>VLOOKUP(E76,[31]Cumplimiento!$B$6:$P$30,8,FALSE)</f>
        <v>0</v>
      </c>
      <c r="Q76" s="116">
        <f>VLOOKUP(E76,[31]Cumplimiento!$B$6:$P$30,9,FALSE)</f>
        <v>0</v>
      </c>
      <c r="R76" s="116">
        <f>VLOOKUP(E76,[31]Cumplimiento!$B$6:$P$30,10,FALSE)</f>
        <v>0</v>
      </c>
      <c r="S76" s="117">
        <f>VLOOKUP(E76,[31]Cumplimiento!$B$6:$P$30,11,FALSE)</f>
        <v>0</v>
      </c>
      <c r="T76" s="14">
        <f>VLOOKUP(E76,[31]Cumplimiento!$B$6:$P$30,3,FALSE)</f>
        <v>0</v>
      </c>
      <c r="U76" s="42" t="str">
        <f>IF(E76="","",IFERROR(P76/(SUM(P76,Q76,R76)),"-"))</f>
        <v>-</v>
      </c>
      <c r="V76" s="42" t="str">
        <f>IF(E76="","",IFERROR(Q76/(SUM(P76,Q76,R76)),"-"))</f>
        <v>-</v>
      </c>
      <c r="W76" s="42" t="str">
        <f>IF(E76="","",IFERROR(R76/(SUM(P76,Q76,R76)),"-"))</f>
        <v>-</v>
      </c>
      <c r="X76" s="45">
        <f>IF(E76="","",IFERROR(T76/K76,"-"))</f>
        <v>0</v>
      </c>
      <c r="AA76" s="34" t="e">
        <f>SUM(IF(ISTEXT('[16]PM Atención Ambulatoria'!#REF!),1/COUNTIF('[16]PM Atención Ambulatoria'!#REF!, '[16]PM Atención Ambulatoria'!#REF!),""))</f>
        <v>#VALUE!</v>
      </c>
      <c r="AI76" s="30">
        <f>SUM(P76:S76)</f>
        <v>0</v>
      </c>
    </row>
    <row r="77" spans="2:35" s="29" customFormat="1" ht="33" customHeight="1">
      <c r="B77" s="50">
        <v>2023</v>
      </c>
      <c r="C77" s="49" t="s">
        <v>172</v>
      </c>
      <c r="D77" s="49" t="s">
        <v>173</v>
      </c>
      <c r="E77" s="46" t="str">
        <f>[8]Cumplimiento!$B$19</f>
        <v>Auditoría Interna Verificación a los Cuadres de Cajas de las UH 2023-2</v>
      </c>
      <c r="F77" s="49" t="s">
        <v>166</v>
      </c>
      <c r="G77" s="39" t="s">
        <v>35</v>
      </c>
      <c r="H77" s="39" t="s">
        <v>36</v>
      </c>
      <c r="I77" s="10">
        <v>45126</v>
      </c>
      <c r="J77" s="53"/>
      <c r="K77" s="43">
        <f>VLOOKUP(E77,[8]Cumplimiento!$B$6:$P$30,2,FALSE)</f>
        <v>0</v>
      </c>
      <c r="L77" s="47" t="str">
        <f>VLOOKUP(E77,[8]Cumplimiento!$B$6:$P$30,5,FALSE)</f>
        <v>NO APLICA</v>
      </c>
      <c r="M77" s="67" t="str">
        <f>VLOOKUP(E77,[8]Cumplimiento!$B$6:$P$30,6,FALSE)</f>
        <v/>
      </c>
      <c r="N77" s="44">
        <f>_xlfn.IFNA(VLOOKUP(E77,[8]Cumplimiento!$B$6:$P$30,4,FALSE),"-")</f>
        <v>0</v>
      </c>
      <c r="O77" s="67">
        <f>VLOOKUP(E77,[8]Cumplimiento!$B$6:$P$30,7,FALSE)</f>
        <v>0</v>
      </c>
      <c r="P77" s="70">
        <f>VLOOKUP(E77,[8]Cumplimiento!$B$6:$P$30,8,FALSE)</f>
        <v>0</v>
      </c>
      <c r="Q77" s="71">
        <f>VLOOKUP(E77,[8]Cumplimiento!$B$6:$P$25,9,FALSE)</f>
        <v>0</v>
      </c>
      <c r="R77" s="71">
        <f>VLOOKUP(E77,[8]Cumplimiento!$B$6:$P$25,10,FALSE)</f>
        <v>0</v>
      </c>
      <c r="S77" s="72">
        <f>VLOOKUP(E77,[8]Cumplimiento!$B$6:$P$25,11,FALSE)</f>
        <v>0</v>
      </c>
      <c r="T77" s="67">
        <f>VLOOKUP(E77,[8]Cumplimiento!$B$6:$P$25,3,FALSE)</f>
        <v>0</v>
      </c>
      <c r="U77" s="42" t="str">
        <f t="shared" si="15"/>
        <v>-</v>
      </c>
      <c r="V77" s="42" t="str">
        <f t="shared" si="16"/>
        <v>-</v>
      </c>
      <c r="W77" s="42" t="str">
        <f t="shared" si="17"/>
        <v>-</v>
      </c>
      <c r="X77" s="45" t="str">
        <f t="shared" si="14"/>
        <v>-</v>
      </c>
      <c r="AI77" s="30">
        <f>SUM(P77:S77)</f>
        <v>0</v>
      </c>
    </row>
    <row r="78" spans="2:35" s="29" customFormat="1" ht="33" customHeight="1">
      <c r="B78" s="50">
        <v>2023</v>
      </c>
      <c r="C78" s="49" t="s">
        <v>177</v>
      </c>
      <c r="D78" s="49" t="s">
        <v>178</v>
      </c>
      <c r="E78" s="48" t="str">
        <f>[27]Cumplimiento!$B$7</f>
        <v>Auditoría Interna Programa de Referencia y Contrareferencia 2023</v>
      </c>
      <c r="F78" s="49" t="s">
        <v>10</v>
      </c>
      <c r="G78" s="39" t="s">
        <v>11</v>
      </c>
      <c r="H78" s="39" t="s">
        <v>118</v>
      </c>
      <c r="I78" s="75">
        <v>45154</v>
      </c>
      <c r="J78" s="53"/>
      <c r="K78" s="8">
        <f>VLOOKUP(E78,[27]Cumplimiento!$B$6:$P$30,2,FALSE)</f>
        <v>3</v>
      </c>
      <c r="L78" s="6" t="str">
        <f>VLOOKUP(E78,[27]Cumplimiento!$B$6:$P$30,5,FALSE)</f>
        <v>NO</v>
      </c>
      <c r="M78" s="8" t="str">
        <f>VLOOKUP(E78,[27]Cumplimiento!$B$6:$P$30,6,FALSE)</f>
        <v/>
      </c>
      <c r="N78" s="9">
        <f>VLOOKUP(E78,[27]Cumplimiento!$B$6:$P$30,4,FALSE)</f>
        <v>0</v>
      </c>
      <c r="O78" s="6">
        <f>VLOOKUP(E78,[27]Cumplimiento!$B$6:$P$30,7,FALSE)</f>
        <v>0</v>
      </c>
      <c r="P78" s="115">
        <f>VLOOKUP(E78,[27]Cumplimiento!$B$6:$P$30,8,FALSE)</f>
        <v>0</v>
      </c>
      <c r="Q78" s="116">
        <f>VLOOKUP(E78,[27]Cumplimiento!$B$6:$P$30,9,FALSE)</f>
        <v>0</v>
      </c>
      <c r="R78" s="116">
        <f>VLOOKUP(E78,[27]Cumplimiento!$B$6:$P$30,10,FALSE)</f>
        <v>0</v>
      </c>
      <c r="S78" s="117">
        <f>VLOOKUP(E78,[27]Cumplimiento!$B$6:$P$30,11,FALSE)</f>
        <v>0</v>
      </c>
      <c r="T78" s="14">
        <f>VLOOKUP(E78,[27]Cumplimiento!$B$6:$P$30,3,FALSE)</f>
        <v>0</v>
      </c>
      <c r="U78" s="42" t="str">
        <f t="shared" si="15"/>
        <v>-</v>
      </c>
      <c r="V78" s="42" t="str">
        <f t="shared" si="16"/>
        <v>-</v>
      </c>
      <c r="W78" s="42" t="str">
        <f t="shared" si="17"/>
        <v>-</v>
      </c>
      <c r="X78" s="45">
        <f t="shared" si="14"/>
        <v>0</v>
      </c>
      <c r="AI78" s="30">
        <f t="shared" ref="AI78:AI84" si="18">SUM(P78:S78)</f>
        <v>0</v>
      </c>
    </row>
    <row r="79" spans="2:35" s="29" customFormat="1" ht="33" customHeight="1">
      <c r="B79" s="50">
        <v>2023</v>
      </c>
      <c r="C79" s="49" t="s">
        <v>179</v>
      </c>
      <c r="D79" s="49" t="s">
        <v>180</v>
      </c>
      <c r="E79" s="46" t="str">
        <f>[8]Cumplimiento!$B$20</f>
        <v>Auditoría Interna Proceso Gestión Financiera - Facturación, Cartera y Gestión de Glosas 2023</v>
      </c>
      <c r="F79" s="49" t="s">
        <v>181</v>
      </c>
      <c r="G79" s="39" t="s">
        <v>35</v>
      </c>
      <c r="H79" s="39" t="s">
        <v>36</v>
      </c>
      <c r="I79" s="10">
        <v>45167</v>
      </c>
      <c r="J79" s="53"/>
      <c r="K79" s="43">
        <f>VLOOKUP(E79,[8]Cumplimiento!$B$6:$P$30,2,FALSE)</f>
        <v>6</v>
      </c>
      <c r="L79" s="47" t="str">
        <f>VLOOKUP(E79,[8]Cumplimiento!$B$6:$P$30,5,FALSE)</f>
        <v>NO</v>
      </c>
      <c r="M79" s="67" t="str">
        <f>VLOOKUP(E79,[8]Cumplimiento!$B$6:$P$30,6,FALSE)</f>
        <v/>
      </c>
      <c r="N79" s="44">
        <f>_xlfn.IFNA(VLOOKUP(E79,[8]Cumplimiento!$B$6:$P$30,4,FALSE),"-")</f>
        <v>0</v>
      </c>
      <c r="O79" s="67">
        <f>VLOOKUP(E79,[8]Cumplimiento!$B$6:$P$30,7,FALSE)</f>
        <v>0</v>
      </c>
      <c r="P79" s="70">
        <f>VLOOKUP(E79,[8]Cumplimiento!$B$6:$P$30,8,FALSE)</f>
        <v>0</v>
      </c>
      <c r="Q79" s="71">
        <f>VLOOKUP(E79,[8]Cumplimiento!$B$6:$P$25,9,FALSE)</f>
        <v>0</v>
      </c>
      <c r="R79" s="71">
        <f>VLOOKUP(E79,[8]Cumplimiento!$B$6:$P$25,10,FALSE)</f>
        <v>0</v>
      </c>
      <c r="S79" s="72">
        <f>VLOOKUP(E79,[8]Cumplimiento!$B$6:$P$25,11,FALSE)</f>
        <v>0</v>
      </c>
      <c r="T79" s="67">
        <f>VLOOKUP(E79,[8]Cumplimiento!$B$6:$P$25,3,FALSE)</f>
        <v>0</v>
      </c>
      <c r="U79" s="42" t="str">
        <f t="shared" si="15"/>
        <v>-</v>
      </c>
      <c r="V79" s="42" t="str">
        <f t="shared" si="16"/>
        <v>-</v>
      </c>
      <c r="W79" s="42" t="str">
        <f t="shared" si="17"/>
        <v>-</v>
      </c>
      <c r="X79" s="45">
        <f t="shared" si="14"/>
        <v>0</v>
      </c>
      <c r="AA79" s="29" t="s">
        <v>209</v>
      </c>
      <c r="AD79" s="29" t="e">
        <f>SUM(1/COUNTIF(#REF!,#REF!))</f>
        <v>#REF!</v>
      </c>
      <c r="AI79" s="30">
        <f t="shared" si="18"/>
        <v>0</v>
      </c>
    </row>
    <row r="80" spans="2:35" s="29" customFormat="1" ht="33" customHeight="1">
      <c r="B80" s="50">
        <v>2023</v>
      </c>
      <c r="C80" s="49" t="s">
        <v>182</v>
      </c>
      <c r="D80" s="49" t="s">
        <v>183</v>
      </c>
      <c r="E80" s="46" t="str">
        <f>[23]Cumplimiento!$B$10</f>
        <v>Auditoría Interna Proceso de Gestión del Talento Humano 2023</v>
      </c>
      <c r="F80" s="49" t="s">
        <v>184</v>
      </c>
      <c r="G80" s="39" t="s">
        <v>82</v>
      </c>
      <c r="H80" s="39" t="s">
        <v>67</v>
      </c>
      <c r="I80" s="75">
        <v>45208</v>
      </c>
      <c r="J80" s="53"/>
      <c r="K80" s="8">
        <f>VLOOKUP(E80,[23]Cumplimiento!$B$6:$P$30,2,FALSE)</f>
        <v>7</v>
      </c>
      <c r="L80" s="6" t="str">
        <f>VLOOKUP(E80,[23]Cumplimiento!$B$6:$P$30,5,FALSE)</f>
        <v>SI</v>
      </c>
      <c r="M80" s="8">
        <f>VLOOKUP(E80,[23]Cumplimiento!$B$6:$P$30,6,FALSE)</f>
        <v>0</v>
      </c>
      <c r="N80" s="9">
        <f>VLOOKUP(E80,[23]Cumplimiento!$B$6:$P$30,4,FALSE)</f>
        <v>0</v>
      </c>
      <c r="O80" s="6">
        <f>VLOOKUP(E80,[23]Cumplimiento!$B$6:$P$30,7,FALSE)</f>
        <v>14</v>
      </c>
      <c r="P80" s="115">
        <f>VLOOKUP(E80,[23]Cumplimiento!$B$6:$P$30,8,FALSE)</f>
        <v>0</v>
      </c>
      <c r="Q80" s="116">
        <f>VLOOKUP(E80,[23]Cumplimiento!$B$6:$P$30,9,FALSE)</f>
        <v>0</v>
      </c>
      <c r="R80" s="116">
        <f>VLOOKUP(E80,[23]Cumplimiento!$B$6:$P$30,10,FALSE)</f>
        <v>0</v>
      </c>
      <c r="S80" s="117">
        <f>VLOOKUP(E80,[23]Cumplimiento!$B$6:$P$30,11,FALSE)</f>
        <v>14</v>
      </c>
      <c r="T80" s="14">
        <f>VLOOKUP(E80,[23]Cumplimiento!$B$6:$P$30,3,FALSE)</f>
        <v>0</v>
      </c>
      <c r="U80" s="42" t="str">
        <f t="shared" si="15"/>
        <v>-</v>
      </c>
      <c r="V80" s="42" t="str">
        <f t="shared" si="16"/>
        <v>-</v>
      </c>
      <c r="W80" s="42" t="str">
        <f t="shared" si="17"/>
        <v>-</v>
      </c>
      <c r="X80" s="45">
        <f t="shared" si="14"/>
        <v>0</v>
      </c>
      <c r="AI80" s="30">
        <f t="shared" si="18"/>
        <v>14</v>
      </c>
    </row>
    <row r="81" spans="2:35" s="29" customFormat="1" ht="33" customHeight="1">
      <c r="B81" s="50">
        <v>2023</v>
      </c>
      <c r="C81" s="49" t="s">
        <v>328</v>
      </c>
      <c r="D81" s="49" t="s">
        <v>187</v>
      </c>
      <c r="E81" s="46" t="str">
        <f>[8]Cumplimiento!$B$21</f>
        <v>Auditoría Interna Proceso Gestión Financiera - Presupuesto 2023</v>
      </c>
      <c r="F81" s="49" t="s">
        <v>159</v>
      </c>
      <c r="G81" s="39" t="s">
        <v>35</v>
      </c>
      <c r="H81" s="39" t="s">
        <v>36</v>
      </c>
      <c r="I81" s="65">
        <v>45225</v>
      </c>
      <c r="J81" s="53"/>
      <c r="K81" s="43">
        <f>VLOOKUP(E81,[8]Cumplimiento!$B$6:$P$30,2,FALSE)</f>
        <v>5</v>
      </c>
      <c r="L81" s="47" t="str">
        <f>VLOOKUP(E81,[8]Cumplimiento!$B$6:$P$30,5,FALSE)</f>
        <v>NO</v>
      </c>
      <c r="M81" s="67" t="str">
        <f>VLOOKUP(E81,[8]Cumplimiento!$B$6:$P$30,6,FALSE)</f>
        <v/>
      </c>
      <c r="N81" s="44">
        <f>_xlfn.IFNA(VLOOKUP(E81,[8]Cumplimiento!$B$6:$P$30,4,FALSE),"-")</f>
        <v>0</v>
      </c>
      <c r="O81" s="67">
        <f>VLOOKUP(E81,[8]Cumplimiento!$B$6:$P$30,7,FALSE)</f>
        <v>0</v>
      </c>
      <c r="P81" s="70">
        <f>VLOOKUP(E81,[8]Cumplimiento!$B$6:$P$30,8,FALSE)</f>
        <v>0</v>
      </c>
      <c r="Q81" s="71">
        <f>VLOOKUP(E81,[8]Cumplimiento!$B$6:$P$25,9,FALSE)</f>
        <v>0</v>
      </c>
      <c r="R81" s="71">
        <f>VLOOKUP(E81,[8]Cumplimiento!$B$6:$P$25,10,FALSE)</f>
        <v>0</v>
      </c>
      <c r="S81" s="72">
        <f>VLOOKUP(E81,[8]Cumplimiento!$B$6:$P$25,11,FALSE)</f>
        <v>0</v>
      </c>
      <c r="T81" s="67">
        <f>VLOOKUP(E81,[8]Cumplimiento!$B$6:$P$25,3,FALSE)</f>
        <v>0</v>
      </c>
      <c r="U81" s="42" t="str">
        <f>IF(E81="","",IFERROR(P81/(SUM(P81,Q81,R81)),"-"))</f>
        <v>-</v>
      </c>
      <c r="V81" s="42" t="str">
        <f>IF(E81="","",IFERROR(Q81/(SUM(P81,Q81,R81)),"-"))</f>
        <v>-</v>
      </c>
      <c r="W81" s="42" t="str">
        <f>IF(E81="","",IFERROR(R81/(SUM(P81,Q81,R81)),"-"))</f>
        <v>-</v>
      </c>
      <c r="X81" s="45">
        <f>IF(E81="","",IFERROR(T81/K81,"-"))</f>
        <v>0</v>
      </c>
    </row>
    <row r="82" spans="2:35" s="29" customFormat="1" ht="33" customHeight="1">
      <c r="B82" s="50">
        <v>2023</v>
      </c>
      <c r="C82" s="49" t="s">
        <v>348</v>
      </c>
      <c r="D82" s="39" t="s">
        <v>170</v>
      </c>
      <c r="E82" s="39" t="str">
        <f>[26]Cumplimiento!$B$9</f>
        <v>Auditoría Interna Seguimiento periódico a la contratación y supervisión de bienes y servicios 2023-3</v>
      </c>
      <c r="F82" s="49" t="s">
        <v>166</v>
      </c>
      <c r="G82" s="39" t="s">
        <v>105</v>
      </c>
      <c r="H82" s="39" t="s">
        <v>106</v>
      </c>
      <c r="I82" s="76">
        <v>45239</v>
      </c>
      <c r="J82" s="53"/>
      <c r="K82" s="8">
        <f>VLOOKUP(E82,[26]Cumplimiento!$B$6:$P$30,2,FALSE)</f>
        <v>2</v>
      </c>
      <c r="L82" s="6" t="str">
        <f>VLOOKUP(E82,[26]Cumplimiento!$B$6:$P$30,5,FALSE)</f>
        <v>NO</v>
      </c>
      <c r="M82" s="8" t="str">
        <f>VLOOKUP(E82,[26]Cumplimiento!$B$6:$P$30,6,FALSE)</f>
        <v/>
      </c>
      <c r="N82" s="9">
        <f>VLOOKUP(E82,[26]Cumplimiento!$B$6:$P$30,4,FALSE)</f>
        <v>0</v>
      </c>
      <c r="O82" s="6">
        <f>VLOOKUP(E82,[26]Cumplimiento!$B$6:$P$30,7,FALSE)</f>
        <v>0</v>
      </c>
      <c r="P82" s="115">
        <f>VLOOKUP(E82,[26]Cumplimiento!$B$6:$P$30,8,FALSE)</f>
        <v>0</v>
      </c>
      <c r="Q82" s="116">
        <f>VLOOKUP(E82,[26]Cumplimiento!$B$6:$P$10,9,FALSE)</f>
        <v>0</v>
      </c>
      <c r="R82" s="116">
        <f>VLOOKUP(E82,[26]Cumplimiento!$B$6:$P$10,10,FALSE)</f>
        <v>0</v>
      </c>
      <c r="S82" s="117">
        <f>VLOOKUP(E82,[26]Cumplimiento!$B$6:$P$10,11,FALSE)</f>
        <v>0</v>
      </c>
      <c r="T82" s="14">
        <f>VLOOKUP(E82,[26]Cumplimiento!$B$6:$P$10,3,FALSE)</f>
        <v>0</v>
      </c>
      <c r="U82" s="42" t="str">
        <f>IF(E82="","",IFERROR(P82/(SUM(P82,Q82,R82)),"-"))</f>
        <v>-</v>
      </c>
      <c r="V82" s="42" t="str">
        <f>IF(E82="","",IFERROR(Q82/(SUM(P82,Q82,R82)),"-"))</f>
        <v>-</v>
      </c>
      <c r="W82" s="42" t="str">
        <f>IF(E82="","",IFERROR(R82/(SUM(P82,Q82,R82)),"-"))</f>
        <v>-</v>
      </c>
      <c r="X82" s="45">
        <f>IF(E82="","",IFERROR(T82/K82,"-"))</f>
        <v>0</v>
      </c>
    </row>
    <row r="83" spans="2:35" s="29" customFormat="1" ht="33" customHeight="1">
      <c r="B83" s="50">
        <v>2023</v>
      </c>
      <c r="C83" s="49" t="s">
        <v>325</v>
      </c>
      <c r="D83" s="39" t="s">
        <v>290</v>
      </c>
      <c r="E83" s="46" t="str">
        <f>[17]Cumplimiento!$B$17</f>
        <v>Auditoría Interna Procedimiento Control del inventario de bienes muebles e inmuebles 2023</v>
      </c>
      <c r="F83" s="49" t="s">
        <v>166</v>
      </c>
      <c r="G83" s="39" t="s">
        <v>40</v>
      </c>
      <c r="H83" s="39" t="s">
        <v>41</v>
      </c>
      <c r="I83" s="179">
        <v>45240</v>
      </c>
      <c r="J83" s="53"/>
      <c r="K83" s="43">
        <f>VLOOKUP(E83,[17]Cumplimiento!$B$6:$P$30,2,FALSE)</f>
        <v>3</v>
      </c>
      <c r="L83" s="47" t="str">
        <f>VLOOKUP(E83,[17]Cumplimiento!$B$6:$P$30,5,FALSE)</f>
        <v>NO</v>
      </c>
      <c r="M83" s="43" t="str">
        <f>VLOOKUP(E83,[17]Cumplimiento!$B$6:$P$30,6,FALSE)</f>
        <v/>
      </c>
      <c r="N83" s="44">
        <f>VLOOKUP(E83,[17]Cumplimiento!$B$6:$P$30,4,FALSE)</f>
        <v>0</v>
      </c>
      <c r="O83" s="67">
        <f>VLOOKUP(E83,[17]Cumplimiento!$B$6:$P$30,7,FALSE)</f>
        <v>0</v>
      </c>
      <c r="P83" s="70">
        <f>VLOOKUP(E83,[17]Cumplimiento!$B$6:$P$30,8,FALSE)</f>
        <v>0</v>
      </c>
      <c r="Q83" s="71">
        <f>VLOOKUP(E83,[17]Cumplimiento!$B$6:$P$30,9,FALSE)</f>
        <v>0</v>
      </c>
      <c r="R83" s="71">
        <f>VLOOKUP(E83,[17]Cumplimiento!$B$6:$P$30,10,FALSE)</f>
        <v>0</v>
      </c>
      <c r="S83" s="72">
        <f>VLOOKUP(E83,[17]Cumplimiento!$B$6:$P$30,11,FALSE)</f>
        <v>0</v>
      </c>
      <c r="T83" s="67">
        <f>VLOOKUP(E83,[17]Cumplimiento!$B$6:$P$30,3,FALSE)</f>
        <v>0</v>
      </c>
      <c r="U83" s="42" t="str">
        <f>IF(E83="","",IFERROR(P83/(SUM(P83,Q83,R83)),"-"))</f>
        <v>-</v>
      </c>
      <c r="V83" s="42" t="str">
        <f>IF(E83="","",IFERROR(Q83/(SUM(P83,Q83,R83)),"-"))</f>
        <v>-</v>
      </c>
      <c r="W83" s="42" t="str">
        <f>IF(E83="","",IFERROR(R83/(SUM(P83,Q83,R83)),"-"))</f>
        <v>-</v>
      </c>
      <c r="X83" s="45">
        <f>IF(E83="","",IFERROR(T83/K83,"-"))</f>
        <v>0</v>
      </c>
    </row>
    <row r="84" spans="2:35" s="29" customFormat="1" ht="33" customHeight="1">
      <c r="B84" s="50">
        <v>2023</v>
      </c>
      <c r="C84" s="39" t="s">
        <v>329</v>
      </c>
      <c r="D84" s="39" t="s">
        <v>281</v>
      </c>
      <c r="E84" s="46" t="str">
        <f>[31]Cumplimiento!$B$8</f>
        <v>Auditoría Interna Auditoria integral UPSS 3 2023</v>
      </c>
      <c r="F84" s="49" t="s">
        <v>192</v>
      </c>
      <c r="G84" s="39" t="s">
        <v>11</v>
      </c>
      <c r="H84" s="39" t="s">
        <v>163</v>
      </c>
      <c r="I84" s="76">
        <v>45250</v>
      </c>
      <c r="J84" s="53"/>
      <c r="K84" s="8">
        <f>VLOOKUP(E84,[31]Cumplimiento!$B$6:$P$30,2,FALSE)</f>
        <v>5</v>
      </c>
      <c r="L84" s="6" t="str">
        <f>VLOOKUP(E84,[31]Cumplimiento!$B$6:$P$30,5,FALSE)</f>
        <v>NO</v>
      </c>
      <c r="M84" s="8" t="str">
        <f>VLOOKUP(E84,[31]Cumplimiento!$B$6:$P$30,6,FALSE)</f>
        <v/>
      </c>
      <c r="N84" s="9">
        <f>VLOOKUP(E84,[31]Cumplimiento!$B$6:$P$30,4,FALSE)</f>
        <v>0</v>
      </c>
      <c r="O84" s="6">
        <f>VLOOKUP(E84,[31]Cumplimiento!$B$6:$P$30,7,FALSE)</f>
        <v>0</v>
      </c>
      <c r="P84" s="115">
        <f>VLOOKUP(E84,[31]Cumplimiento!$B$6:$P$30,8,FALSE)</f>
        <v>0</v>
      </c>
      <c r="Q84" s="116">
        <f>VLOOKUP(E84,[31]Cumplimiento!$B$6:$P$30,9,FALSE)</f>
        <v>0</v>
      </c>
      <c r="R84" s="116">
        <f>VLOOKUP(E84,[31]Cumplimiento!$B$6:$P$30,10,FALSE)</f>
        <v>0</v>
      </c>
      <c r="S84" s="117">
        <f>VLOOKUP(E84,[31]Cumplimiento!$B$6:$P$30,11,FALSE)</f>
        <v>0</v>
      </c>
      <c r="T84" s="14">
        <f>VLOOKUP(E84,[31]Cumplimiento!$B$6:$P$30,3,FALSE)</f>
        <v>0</v>
      </c>
      <c r="U84" s="42" t="str">
        <f t="shared" si="15"/>
        <v>-</v>
      </c>
      <c r="V84" s="42" t="str">
        <f t="shared" si="16"/>
        <v>-</v>
      </c>
      <c r="W84" s="42" t="str">
        <f t="shared" si="17"/>
        <v>-</v>
      </c>
      <c r="X84" s="45">
        <f t="shared" si="14"/>
        <v>0</v>
      </c>
      <c r="AI84" s="30">
        <f t="shared" si="18"/>
        <v>0</v>
      </c>
    </row>
    <row r="85" spans="2:35" s="29" customFormat="1" ht="33" customHeight="1">
      <c r="B85" s="50">
        <v>2023</v>
      </c>
      <c r="C85" s="49" t="s">
        <v>326</v>
      </c>
      <c r="D85" s="49" t="s">
        <v>185</v>
      </c>
      <c r="E85" s="46" t="str">
        <f>[32]Cumplimiento!$B$6</f>
        <v>Proceso Gestión Sistemas de Información componente seguridad de la información 2023</v>
      </c>
      <c r="F85" s="49" t="s">
        <v>94</v>
      </c>
      <c r="G85" s="39" t="s">
        <v>50</v>
      </c>
      <c r="H85" s="39" t="s">
        <v>186</v>
      </c>
      <c r="I85" s="75">
        <v>45253</v>
      </c>
      <c r="J85" s="53"/>
      <c r="K85" s="8">
        <f>VLOOKUP(E85,[32]Cumplimiento!$B$6:$P$30,2,FALSE)</f>
        <v>9</v>
      </c>
      <c r="L85" s="6" t="str">
        <f>VLOOKUP(E85,[32]Cumplimiento!$B$6:$P$30,5,FALSE)</f>
        <v>NO</v>
      </c>
      <c r="M85" s="8" t="str">
        <f>VLOOKUP(E85,[32]Cumplimiento!$B$6:$P$30,6,FALSE)</f>
        <v/>
      </c>
      <c r="N85" s="9">
        <f>VLOOKUP(E85,[32]Cumplimiento!$B$6:$P$30,4,FALSE)</f>
        <v>0</v>
      </c>
      <c r="O85" s="6">
        <f>VLOOKUP(E85,[32]Cumplimiento!$B$6:$P$30,7,FALSE)</f>
        <v>0</v>
      </c>
      <c r="P85" s="115">
        <f>VLOOKUP(E85,[32]Cumplimiento!$B$6:$P$30,8,FALSE)</f>
        <v>0</v>
      </c>
      <c r="Q85" s="116">
        <f>VLOOKUP(E85,[32]Cumplimiento!$B$6:$P$30,9,FALSE)</f>
        <v>0</v>
      </c>
      <c r="R85" s="116">
        <f>VLOOKUP(E85,[32]Cumplimiento!$B$6:$P$30,10,FALSE)</f>
        <v>0</v>
      </c>
      <c r="S85" s="117">
        <f>VLOOKUP(E85,[32]Cumplimiento!$B$6:$P$30,11,FALSE)</f>
        <v>0</v>
      </c>
      <c r="T85" s="14">
        <f>VLOOKUP(E85,[32]Cumplimiento!$B$6:$P$30,3,FALSE)</f>
        <v>0</v>
      </c>
      <c r="U85" s="42" t="str">
        <f t="shared" si="15"/>
        <v>-</v>
      </c>
      <c r="V85" s="42" t="str">
        <f t="shared" si="16"/>
        <v>-</v>
      </c>
      <c r="W85" s="42" t="str">
        <f t="shared" si="17"/>
        <v>-</v>
      </c>
      <c r="X85" s="45">
        <f t="shared" si="14"/>
        <v>0</v>
      </c>
    </row>
    <row r="86" spans="2:35" s="29" customFormat="1" ht="33" customHeight="1">
      <c r="B86" s="50">
        <v>2023</v>
      </c>
      <c r="C86" s="39" t="s">
        <v>356</v>
      </c>
      <c r="D86" s="39" t="s">
        <v>170</v>
      </c>
      <c r="E86" s="39" t="str">
        <f>[26]Cumplimiento!$B$10</f>
        <v>Auditoría Interna Seguimiento periódico a la contratación y supervisión de bienes y servicios 2023-4</v>
      </c>
      <c r="F86" s="49" t="s">
        <v>166</v>
      </c>
      <c r="G86" s="39" t="s">
        <v>105</v>
      </c>
      <c r="H86" s="39" t="s">
        <v>106</v>
      </c>
      <c r="I86" s="65">
        <v>45279</v>
      </c>
      <c r="J86" s="28"/>
      <c r="K86" s="43">
        <f>VLOOKUP(E86,[26]Cumplimiento!$B$6:$P$30,2,FALSE)</f>
        <v>5</v>
      </c>
      <c r="L86" s="47" t="str">
        <f>VLOOKUP(E86,[26]Cumplimiento!$B$6:$P$30,5,FALSE)</f>
        <v>SI</v>
      </c>
      <c r="M86" s="43">
        <f>VLOOKUP(E86,[26]Cumplimiento!$B$6:$P$30,6,FALSE)</f>
        <v>0</v>
      </c>
      <c r="N86" s="44">
        <f>VLOOKUP(E86,[26]Cumplimiento!$B$6:$P$30,4,FALSE)</f>
        <v>0</v>
      </c>
      <c r="O86" s="67">
        <f>VLOOKUP(E86,[26]Cumplimiento!$B$6:$P$30,7,FALSE)</f>
        <v>4</v>
      </c>
      <c r="P86" s="70">
        <f>VLOOKUP(E86,[26]Cumplimiento!$B$6:$P$30,8,FALSE)</f>
        <v>0</v>
      </c>
      <c r="Q86" s="71">
        <f>VLOOKUP(E86,[26]Cumplimiento!$B$6:$P$30,9,FALSE)</f>
        <v>0</v>
      </c>
      <c r="R86" s="71">
        <f>VLOOKUP(E86,[26]Cumplimiento!$B$6:$P$30,10,FALSE)</f>
        <v>0</v>
      </c>
      <c r="S86" s="72">
        <f>VLOOKUP(E86,[26]Cumplimiento!$B$6:$P$30,11,FALSE)</f>
        <v>4</v>
      </c>
      <c r="T86" s="67">
        <f>VLOOKUP(E86,[26]Cumplimiento!$B$6:$P$30,3,FALSE)</f>
        <v>0</v>
      </c>
      <c r="U86" s="42" t="str">
        <f>IF(E86="","",IFERROR(P86/(SUM(P86,Q86,R86)),"-"))</f>
        <v>-</v>
      </c>
      <c r="V86" s="42" t="str">
        <f>IF(E86="","",IFERROR(Q86/(SUM(P86,Q86,R86)),"-"))</f>
        <v>-</v>
      </c>
      <c r="W86" s="42" t="str">
        <f>IF(E86="","",IFERROR(R86/(SUM(P86,Q86,R86)),"-"))</f>
        <v>-</v>
      </c>
      <c r="X86" s="45">
        <f>IF(E86="","",IFERROR(T86/K86,"-"))</f>
        <v>0</v>
      </c>
    </row>
    <row r="87" spans="2:35" s="29" customFormat="1" ht="33" customHeight="1">
      <c r="B87" s="50">
        <v>2023</v>
      </c>
      <c r="C87" s="49" t="s">
        <v>343</v>
      </c>
      <c r="D87" s="39" t="s">
        <v>341</v>
      </c>
      <c r="E87" s="39" t="str">
        <f>[8]Cumplimiento!$B$22</f>
        <v>Auditoría Interna Verificación a los Cuadres de Cajas de las UH 2023-3</v>
      </c>
      <c r="F87" s="49" t="s">
        <v>342</v>
      </c>
      <c r="G87" s="39" t="s">
        <v>35</v>
      </c>
      <c r="H87" s="39" t="s">
        <v>36</v>
      </c>
      <c r="I87" s="65">
        <v>45287</v>
      </c>
      <c r="J87" s="28"/>
      <c r="K87" s="43">
        <f>VLOOKUP(E87,[8]Cumplimiento!$B$6:$P$30,2,FALSE)</f>
        <v>1</v>
      </c>
      <c r="L87" s="47" t="str">
        <f>VLOOKUP(E87,[8]Cumplimiento!$B$6:$P$30,5,FALSE)</f>
        <v>SI</v>
      </c>
      <c r="M87" s="43">
        <f>VLOOKUP(E87,[8]Cumplimiento!$B$6:$P$30,6,FALSE)</f>
        <v>0</v>
      </c>
      <c r="N87" s="44">
        <f>VLOOKUP(E87,[8]Cumplimiento!$B$6:$P$30,4,FALSE)</f>
        <v>0</v>
      </c>
      <c r="O87" s="67">
        <f>VLOOKUP(E87,[8]Cumplimiento!$B$6:$P$30,7,FALSE)</f>
        <v>1</v>
      </c>
      <c r="P87" s="70">
        <f>VLOOKUP(E87,[8]Cumplimiento!$B$6:$P$30,8,FALSE)</f>
        <v>0</v>
      </c>
      <c r="Q87" s="71">
        <f>VLOOKUP(E87,[8]Cumplimiento!$B$6:$P$25,9,FALSE)</f>
        <v>0</v>
      </c>
      <c r="R87" s="71">
        <f>VLOOKUP(E87,[8]Cumplimiento!$B$6:$P$25,10,FALSE)</f>
        <v>0</v>
      </c>
      <c r="S87" s="72">
        <f>VLOOKUP(E87,[8]Cumplimiento!$B$6:$P$25,11,FALSE)</f>
        <v>1</v>
      </c>
      <c r="T87" s="67">
        <f>VLOOKUP(E87,[8]Cumplimiento!$B$6:$P$25,3,FALSE)</f>
        <v>0</v>
      </c>
      <c r="U87" s="42" t="str">
        <f t="shared" si="15"/>
        <v>-</v>
      </c>
      <c r="V87" s="42" t="str">
        <f t="shared" si="16"/>
        <v>-</v>
      </c>
      <c r="W87" s="42" t="str">
        <f t="shared" si="17"/>
        <v>-</v>
      </c>
      <c r="X87" s="45">
        <f t="shared" si="14"/>
        <v>0</v>
      </c>
    </row>
    <row r="88" spans="2:35" s="29" customFormat="1" ht="33" customHeight="1">
      <c r="B88" s="50">
        <v>2023</v>
      </c>
      <c r="C88" s="49" t="s">
        <v>374</v>
      </c>
      <c r="D88" s="39" t="s">
        <v>375</v>
      </c>
      <c r="E88" s="39" t="str">
        <f>[28]Cumplimiento!$B$9</f>
        <v>Auditoría Interna Proceso Gestión de la Salud Pública y Territorial 2023</v>
      </c>
      <c r="F88" s="49" t="s">
        <v>376</v>
      </c>
      <c r="G88" s="39" t="s">
        <v>127</v>
      </c>
      <c r="H88" s="39" t="s">
        <v>128</v>
      </c>
      <c r="I88" s="65">
        <v>45301</v>
      </c>
      <c r="J88" s="28"/>
      <c r="K88" s="43">
        <f>VLOOKUP(E88,[28]Cumplimiento!$B$6:$P$30,2,FALSE)</f>
        <v>0</v>
      </c>
      <c r="L88" s="47" t="str">
        <f>VLOOKUP(E88,[28]Cumplimiento!$B$6:$P$30,5,FALSE)</f>
        <v>NO APLICA</v>
      </c>
      <c r="M88" s="43" t="str">
        <f>VLOOKUP(E88,[28]Cumplimiento!$B$6:$P$30,6,FALSE)</f>
        <v/>
      </c>
      <c r="N88" s="44">
        <f>VLOOKUP(E88,[28]Cumplimiento!$B$6:$P$30,4,FALSE)</f>
        <v>0</v>
      </c>
      <c r="O88" s="67">
        <f>VLOOKUP(E88,[28]Cumplimiento!$B$6:$P$30,7,FALSE)</f>
        <v>0</v>
      </c>
      <c r="P88" s="70">
        <f>VLOOKUP(E88,[28]Cumplimiento!$B$6:$P$30,8,FALSE)</f>
        <v>0</v>
      </c>
      <c r="Q88" s="71">
        <f>VLOOKUP(E88,[28]Cumplimiento!$B$6:$P$10,9,FALSE)</f>
        <v>0</v>
      </c>
      <c r="R88" s="71">
        <f>VLOOKUP(E88,[28]Cumplimiento!$B$6:$P$10,10,FALSE)</f>
        <v>0</v>
      </c>
      <c r="S88" s="72">
        <f>VLOOKUP(E88,[28]Cumplimiento!$B$6:$P$10,11,FALSE)</f>
        <v>0</v>
      </c>
      <c r="T88" s="67">
        <f>VLOOKUP(E88,[28]Cumplimiento!$B$6:$P$10,3,FALSE)</f>
        <v>0</v>
      </c>
      <c r="U88" s="42" t="str">
        <f t="shared" si="15"/>
        <v>-</v>
      </c>
      <c r="V88" s="42" t="str">
        <f t="shared" si="16"/>
        <v>-</v>
      </c>
      <c r="W88" s="42" t="str">
        <f t="shared" si="17"/>
        <v>-</v>
      </c>
      <c r="X88" s="45" t="str">
        <f t="shared" si="14"/>
        <v>-</v>
      </c>
    </row>
    <row r="89" spans="2:35" s="29" customFormat="1" ht="33" customHeight="1">
      <c r="B89" s="50">
        <v>2023</v>
      </c>
      <c r="C89" s="49" t="s">
        <v>377</v>
      </c>
      <c r="D89" s="39" t="s">
        <v>378</v>
      </c>
      <c r="E89" s="39" t="str">
        <f>[8]Cumplimiento!$B$23</f>
        <v>Auditoría Interna Proceso Gestión Financiera - Costos 2023</v>
      </c>
      <c r="F89" s="49" t="s">
        <v>159</v>
      </c>
      <c r="G89" s="39" t="s">
        <v>35</v>
      </c>
      <c r="H89" s="39" t="s">
        <v>36</v>
      </c>
      <c r="I89" s="65">
        <v>45306</v>
      </c>
      <c r="J89" s="28"/>
      <c r="K89" s="43">
        <f>VLOOKUP(E89,[8]Cumplimiento!$B$6:$P$30,2,FALSE)</f>
        <v>1</v>
      </c>
      <c r="L89" s="47" t="str">
        <f>VLOOKUP(E89,[8]Cumplimiento!$B$6:$P$30,5,FALSE)</f>
        <v>NO</v>
      </c>
      <c r="M89" s="43" t="str">
        <f>VLOOKUP(E89,[8]Cumplimiento!$B$6:$P$30,6,FALSE)</f>
        <v/>
      </c>
      <c r="N89" s="44">
        <f>VLOOKUP(E89,[8]Cumplimiento!$B$6:$P$30,4,FALSE)</f>
        <v>0</v>
      </c>
      <c r="O89" s="67">
        <f>VLOOKUP(E89,[8]Cumplimiento!$B$6:$P$30,7,FALSE)</f>
        <v>0</v>
      </c>
      <c r="P89" s="70">
        <f>VLOOKUP(E89,[8]Cumplimiento!$B$6:$P$30,8,FALSE)</f>
        <v>0</v>
      </c>
      <c r="Q89" s="71">
        <f>VLOOKUP(E89,[8]Cumplimiento!$B$6:$P$25,9,FALSE)</f>
        <v>0</v>
      </c>
      <c r="R89" s="71">
        <f>VLOOKUP(E89,[8]Cumplimiento!$B$6:$P$25,10,FALSE)</f>
        <v>0</v>
      </c>
      <c r="S89" s="72">
        <f>VLOOKUP(E89,[8]Cumplimiento!$B$6:$P$25,11,FALSE)</f>
        <v>0</v>
      </c>
      <c r="T89" s="67">
        <f>VLOOKUP(E89,[8]Cumplimiento!$B$6:$P$25,3,FALSE)</f>
        <v>0</v>
      </c>
      <c r="U89" s="42" t="str">
        <f t="shared" si="15"/>
        <v>-</v>
      </c>
      <c r="V89" s="42" t="str">
        <f t="shared" si="16"/>
        <v>-</v>
      </c>
      <c r="W89" s="42" t="str">
        <f t="shared" si="17"/>
        <v>-</v>
      </c>
      <c r="X89" s="45">
        <f t="shared" si="14"/>
        <v>0</v>
      </c>
    </row>
    <row r="90" spans="2:35" s="29" customFormat="1" ht="33" customHeight="1">
      <c r="B90" s="50"/>
      <c r="C90" s="49"/>
      <c r="D90" s="39"/>
      <c r="E90" s="39"/>
      <c r="F90" s="49"/>
      <c r="G90" s="39"/>
      <c r="H90" s="39"/>
      <c r="I90" s="50"/>
      <c r="J90" s="28"/>
      <c r="K90" s="43"/>
      <c r="L90" s="47" t="str">
        <f t="shared" ref="L90:L117" si="19">IF(AND(K90="",O90=""),"",IF(K90=0,"NO APLICA",IF(O90&gt;0,"SI","NO")))</f>
        <v/>
      </c>
      <c r="M90" s="43"/>
      <c r="N90" s="44"/>
      <c r="O90" s="67"/>
      <c r="P90" s="70"/>
      <c r="Q90" s="71"/>
      <c r="R90" s="71"/>
      <c r="S90" s="72"/>
      <c r="T90" s="67"/>
      <c r="U90" s="42" t="str">
        <f t="shared" si="15"/>
        <v/>
      </c>
      <c r="V90" s="42" t="str">
        <f t="shared" si="16"/>
        <v/>
      </c>
      <c r="W90" s="42" t="str">
        <f t="shared" si="17"/>
        <v/>
      </c>
      <c r="X90" s="45" t="str">
        <f t="shared" si="14"/>
        <v/>
      </c>
    </row>
    <row r="91" spans="2:35" s="29" customFormat="1" ht="33" customHeight="1">
      <c r="B91" s="50"/>
      <c r="C91" s="49"/>
      <c r="D91" s="39"/>
      <c r="E91" s="39"/>
      <c r="F91" s="49"/>
      <c r="G91" s="39"/>
      <c r="H91" s="39"/>
      <c r="I91" s="50"/>
      <c r="J91" s="28"/>
      <c r="K91" s="43"/>
      <c r="L91" s="47" t="str">
        <f t="shared" si="19"/>
        <v/>
      </c>
      <c r="M91" s="43"/>
      <c r="N91" s="44"/>
      <c r="O91" s="67"/>
      <c r="P91" s="70"/>
      <c r="Q91" s="71"/>
      <c r="R91" s="71"/>
      <c r="S91" s="72"/>
      <c r="T91" s="67"/>
      <c r="U91" s="42" t="str">
        <f t="shared" si="15"/>
        <v/>
      </c>
      <c r="V91" s="42" t="str">
        <f t="shared" si="16"/>
        <v/>
      </c>
      <c r="W91" s="42" t="str">
        <f t="shared" si="17"/>
        <v/>
      </c>
      <c r="X91" s="45" t="str">
        <f t="shared" si="14"/>
        <v/>
      </c>
    </row>
    <row r="92" spans="2:35" s="29" customFormat="1" ht="33" customHeight="1">
      <c r="B92" s="50"/>
      <c r="C92" s="49"/>
      <c r="D92" s="39"/>
      <c r="E92" s="39"/>
      <c r="F92" s="49"/>
      <c r="G92" s="39"/>
      <c r="H92" s="39"/>
      <c r="I92" s="50"/>
      <c r="J92" s="28"/>
      <c r="K92" s="43"/>
      <c r="L92" s="47" t="str">
        <f t="shared" si="19"/>
        <v/>
      </c>
      <c r="M92" s="43"/>
      <c r="N92" s="44"/>
      <c r="O92" s="67"/>
      <c r="P92" s="70"/>
      <c r="Q92" s="71"/>
      <c r="R92" s="71"/>
      <c r="S92" s="72"/>
      <c r="T92" s="67"/>
      <c r="U92" s="42" t="str">
        <f t="shared" si="15"/>
        <v/>
      </c>
      <c r="V92" s="42" t="str">
        <f t="shared" si="16"/>
        <v/>
      </c>
      <c r="W92" s="42" t="str">
        <f t="shared" si="17"/>
        <v/>
      </c>
      <c r="X92" s="45" t="str">
        <f t="shared" si="14"/>
        <v/>
      </c>
    </row>
    <row r="93" spans="2:35" s="29" customFormat="1" ht="33" customHeight="1">
      <c r="B93" s="50"/>
      <c r="C93" s="49"/>
      <c r="D93" s="39"/>
      <c r="E93" s="39"/>
      <c r="F93" s="49"/>
      <c r="G93" s="39"/>
      <c r="H93" s="39"/>
      <c r="I93" s="50"/>
      <c r="J93" s="28"/>
      <c r="K93" s="43"/>
      <c r="L93" s="47" t="str">
        <f t="shared" si="19"/>
        <v/>
      </c>
      <c r="M93" s="43"/>
      <c r="N93" s="44"/>
      <c r="O93" s="67"/>
      <c r="P93" s="70"/>
      <c r="Q93" s="71"/>
      <c r="R93" s="71"/>
      <c r="S93" s="72"/>
      <c r="T93" s="67"/>
      <c r="U93" s="42" t="str">
        <f t="shared" si="15"/>
        <v/>
      </c>
      <c r="V93" s="42" t="str">
        <f t="shared" si="16"/>
        <v/>
      </c>
      <c r="W93" s="42" t="str">
        <f t="shared" si="17"/>
        <v/>
      </c>
      <c r="X93" s="45" t="str">
        <f t="shared" si="14"/>
        <v/>
      </c>
    </row>
    <row r="94" spans="2:35" s="29" customFormat="1" ht="33" customHeight="1">
      <c r="B94" s="50"/>
      <c r="C94" s="49"/>
      <c r="D94" s="39"/>
      <c r="E94" s="39"/>
      <c r="F94" s="49"/>
      <c r="G94" s="39"/>
      <c r="H94" s="39"/>
      <c r="I94" s="50"/>
      <c r="J94" s="28"/>
      <c r="K94" s="43"/>
      <c r="L94" s="47" t="str">
        <f t="shared" si="19"/>
        <v/>
      </c>
      <c r="M94" s="43"/>
      <c r="N94" s="44"/>
      <c r="O94" s="67"/>
      <c r="P94" s="70"/>
      <c r="Q94" s="71"/>
      <c r="R94" s="71"/>
      <c r="S94" s="72"/>
      <c r="T94" s="67"/>
      <c r="U94" s="42" t="str">
        <f t="shared" si="15"/>
        <v/>
      </c>
      <c r="V94" s="42" t="str">
        <f t="shared" si="16"/>
        <v/>
      </c>
      <c r="W94" s="42" t="str">
        <f t="shared" si="17"/>
        <v/>
      </c>
      <c r="X94" s="45" t="str">
        <f t="shared" si="14"/>
        <v/>
      </c>
    </row>
    <row r="95" spans="2:35" s="29" customFormat="1" ht="33" customHeight="1">
      <c r="B95" s="50"/>
      <c r="C95" s="49"/>
      <c r="D95" s="39"/>
      <c r="E95" s="39"/>
      <c r="F95" s="49"/>
      <c r="G95" s="39"/>
      <c r="H95" s="39"/>
      <c r="I95" s="50"/>
      <c r="J95" s="28"/>
      <c r="K95" s="43"/>
      <c r="L95" s="47" t="str">
        <f t="shared" si="19"/>
        <v/>
      </c>
      <c r="M95" s="43"/>
      <c r="N95" s="44"/>
      <c r="O95" s="67"/>
      <c r="P95" s="70"/>
      <c r="Q95" s="71"/>
      <c r="R95" s="71"/>
      <c r="S95" s="72"/>
      <c r="T95" s="67"/>
      <c r="U95" s="42" t="str">
        <f t="shared" si="15"/>
        <v/>
      </c>
      <c r="V95" s="42" t="str">
        <f t="shared" si="16"/>
        <v/>
      </c>
      <c r="W95" s="42" t="str">
        <f t="shared" si="17"/>
        <v/>
      </c>
      <c r="X95" s="45" t="str">
        <f t="shared" si="14"/>
        <v/>
      </c>
    </row>
    <row r="96" spans="2:35" s="29" customFormat="1" ht="33" customHeight="1">
      <c r="B96" s="50"/>
      <c r="C96" s="49"/>
      <c r="D96" s="39"/>
      <c r="E96" s="39"/>
      <c r="F96" s="49"/>
      <c r="G96" s="39"/>
      <c r="H96" s="39"/>
      <c r="I96" s="50"/>
      <c r="J96" s="28"/>
      <c r="K96" s="43"/>
      <c r="L96" s="47" t="str">
        <f t="shared" si="19"/>
        <v/>
      </c>
      <c r="M96" s="43"/>
      <c r="N96" s="44"/>
      <c r="O96" s="67"/>
      <c r="P96" s="70"/>
      <c r="Q96" s="71"/>
      <c r="R96" s="71"/>
      <c r="S96" s="72"/>
      <c r="T96" s="67"/>
      <c r="U96" s="42" t="str">
        <f t="shared" si="15"/>
        <v/>
      </c>
      <c r="V96" s="42" t="str">
        <f t="shared" si="16"/>
        <v/>
      </c>
      <c r="W96" s="42" t="str">
        <f t="shared" si="17"/>
        <v/>
      </c>
      <c r="X96" s="45" t="str">
        <f t="shared" si="14"/>
        <v/>
      </c>
    </row>
    <row r="97" spans="2:24" s="29" customFormat="1" ht="33" customHeight="1">
      <c r="B97" s="50"/>
      <c r="C97" s="49"/>
      <c r="D97" s="39"/>
      <c r="E97" s="39"/>
      <c r="F97" s="49"/>
      <c r="G97" s="39"/>
      <c r="H97" s="39"/>
      <c r="I97" s="50"/>
      <c r="J97" s="28"/>
      <c r="K97" s="43"/>
      <c r="L97" s="47" t="str">
        <f t="shared" si="19"/>
        <v/>
      </c>
      <c r="M97" s="43"/>
      <c r="N97" s="44"/>
      <c r="O97" s="67"/>
      <c r="P97" s="70"/>
      <c r="Q97" s="71"/>
      <c r="R97" s="71"/>
      <c r="S97" s="72"/>
      <c r="T97" s="67"/>
      <c r="U97" s="42" t="str">
        <f t="shared" si="15"/>
        <v/>
      </c>
      <c r="V97" s="42" t="str">
        <f t="shared" si="16"/>
        <v/>
      </c>
      <c r="W97" s="42" t="str">
        <f t="shared" si="17"/>
        <v/>
      </c>
      <c r="X97" s="45" t="str">
        <f t="shared" si="14"/>
        <v/>
      </c>
    </row>
    <row r="98" spans="2:24" s="29" customFormat="1" ht="33" customHeight="1">
      <c r="B98" s="50"/>
      <c r="C98" s="49"/>
      <c r="D98" s="39"/>
      <c r="E98" s="39"/>
      <c r="F98" s="49"/>
      <c r="G98" s="39"/>
      <c r="H98" s="39"/>
      <c r="I98" s="50"/>
      <c r="J98" s="28"/>
      <c r="K98" s="43"/>
      <c r="L98" s="47" t="str">
        <f t="shared" si="19"/>
        <v/>
      </c>
      <c r="M98" s="43"/>
      <c r="N98" s="44"/>
      <c r="O98" s="67"/>
      <c r="P98" s="70"/>
      <c r="Q98" s="71"/>
      <c r="R98" s="71"/>
      <c r="S98" s="72"/>
      <c r="T98" s="67"/>
      <c r="U98" s="42" t="str">
        <f t="shared" si="15"/>
        <v/>
      </c>
      <c r="V98" s="42" t="str">
        <f t="shared" si="16"/>
        <v/>
      </c>
      <c r="W98" s="42" t="str">
        <f t="shared" si="17"/>
        <v/>
      </c>
      <c r="X98" s="45" t="str">
        <f t="shared" si="14"/>
        <v/>
      </c>
    </row>
    <row r="99" spans="2:24" s="29" customFormat="1" ht="33" customHeight="1">
      <c r="B99" s="50"/>
      <c r="C99" s="49"/>
      <c r="D99" s="39"/>
      <c r="E99" s="39"/>
      <c r="F99" s="49"/>
      <c r="G99" s="39"/>
      <c r="H99" s="39"/>
      <c r="I99" s="50"/>
      <c r="J99" s="28"/>
      <c r="K99" s="43"/>
      <c r="L99" s="47" t="str">
        <f t="shared" si="19"/>
        <v/>
      </c>
      <c r="M99" s="43"/>
      <c r="N99" s="44"/>
      <c r="O99" s="67"/>
      <c r="P99" s="70"/>
      <c r="Q99" s="71"/>
      <c r="R99" s="71"/>
      <c r="S99" s="72"/>
      <c r="T99" s="67"/>
      <c r="U99" s="42" t="str">
        <f t="shared" si="15"/>
        <v/>
      </c>
      <c r="V99" s="42" t="str">
        <f t="shared" si="16"/>
        <v/>
      </c>
      <c r="W99" s="42" t="str">
        <f t="shared" si="17"/>
        <v/>
      </c>
      <c r="X99" s="45" t="str">
        <f t="shared" si="14"/>
        <v/>
      </c>
    </row>
    <row r="100" spans="2:24" s="29" customFormat="1" ht="33" customHeight="1">
      <c r="B100" s="50"/>
      <c r="C100" s="49"/>
      <c r="D100" s="39"/>
      <c r="E100" s="39"/>
      <c r="F100" s="49"/>
      <c r="G100" s="39"/>
      <c r="H100" s="39"/>
      <c r="I100" s="50"/>
      <c r="J100" s="28"/>
      <c r="K100" s="43"/>
      <c r="L100" s="47" t="str">
        <f t="shared" si="19"/>
        <v/>
      </c>
      <c r="M100" s="43"/>
      <c r="N100" s="44"/>
      <c r="O100" s="67"/>
      <c r="P100" s="70"/>
      <c r="Q100" s="71"/>
      <c r="R100" s="71"/>
      <c r="S100" s="72"/>
      <c r="T100" s="67"/>
      <c r="U100" s="42" t="str">
        <f t="shared" si="15"/>
        <v/>
      </c>
      <c r="V100" s="42" t="str">
        <f t="shared" si="16"/>
        <v/>
      </c>
      <c r="W100" s="42" t="str">
        <f t="shared" si="17"/>
        <v/>
      </c>
      <c r="X100" s="45" t="str">
        <f t="shared" si="14"/>
        <v/>
      </c>
    </row>
    <row r="101" spans="2:24" s="29" customFormat="1" ht="33" customHeight="1">
      <c r="B101" s="50"/>
      <c r="C101" s="49"/>
      <c r="D101" s="39"/>
      <c r="E101" s="39"/>
      <c r="F101" s="49"/>
      <c r="G101" s="39"/>
      <c r="H101" s="39"/>
      <c r="I101" s="50"/>
      <c r="J101" s="28"/>
      <c r="K101" s="43"/>
      <c r="L101" s="47" t="str">
        <f t="shared" si="19"/>
        <v/>
      </c>
      <c r="M101" s="43"/>
      <c r="N101" s="44"/>
      <c r="O101" s="67"/>
      <c r="P101" s="70"/>
      <c r="Q101" s="71"/>
      <c r="R101" s="71"/>
      <c r="S101" s="72"/>
      <c r="T101" s="67"/>
      <c r="U101" s="42" t="str">
        <f t="shared" si="15"/>
        <v/>
      </c>
      <c r="V101" s="42" t="str">
        <f t="shared" si="16"/>
        <v/>
      </c>
      <c r="W101" s="42" t="str">
        <f t="shared" si="17"/>
        <v/>
      </c>
      <c r="X101" s="45" t="str">
        <f t="shared" si="14"/>
        <v/>
      </c>
    </row>
    <row r="102" spans="2:24" s="29" customFormat="1" ht="33" customHeight="1">
      <c r="B102" s="50"/>
      <c r="C102" s="49"/>
      <c r="D102" s="39"/>
      <c r="E102" s="39"/>
      <c r="F102" s="49"/>
      <c r="G102" s="39"/>
      <c r="H102" s="39"/>
      <c r="I102" s="50"/>
      <c r="J102" s="28"/>
      <c r="K102" s="43"/>
      <c r="L102" s="47" t="str">
        <f t="shared" si="19"/>
        <v/>
      </c>
      <c r="M102" s="43"/>
      <c r="N102" s="44"/>
      <c r="O102" s="67"/>
      <c r="P102" s="70"/>
      <c r="Q102" s="71"/>
      <c r="R102" s="71"/>
      <c r="S102" s="72"/>
      <c r="T102" s="67"/>
      <c r="U102" s="42" t="str">
        <f t="shared" si="15"/>
        <v/>
      </c>
      <c r="V102" s="42" t="str">
        <f t="shared" si="16"/>
        <v/>
      </c>
      <c r="W102" s="42" t="str">
        <f t="shared" si="17"/>
        <v/>
      </c>
      <c r="X102" s="45" t="str">
        <f t="shared" si="14"/>
        <v/>
      </c>
    </row>
    <row r="103" spans="2:24" s="29" customFormat="1" ht="33" customHeight="1">
      <c r="B103" s="50"/>
      <c r="C103" s="49"/>
      <c r="D103" s="39"/>
      <c r="E103" s="39"/>
      <c r="F103" s="49"/>
      <c r="G103" s="39"/>
      <c r="H103" s="39"/>
      <c r="I103" s="50"/>
      <c r="J103" s="28"/>
      <c r="K103" s="43"/>
      <c r="L103" s="47" t="str">
        <f t="shared" si="19"/>
        <v/>
      </c>
      <c r="M103" s="43"/>
      <c r="N103" s="44"/>
      <c r="O103" s="67"/>
      <c r="P103" s="70"/>
      <c r="Q103" s="71"/>
      <c r="R103" s="71"/>
      <c r="S103" s="72"/>
      <c r="T103" s="67"/>
      <c r="U103" s="42" t="str">
        <f t="shared" si="15"/>
        <v/>
      </c>
      <c r="V103" s="42" t="str">
        <f t="shared" si="16"/>
        <v/>
      </c>
      <c r="W103" s="42" t="str">
        <f t="shared" si="17"/>
        <v/>
      </c>
      <c r="X103" s="45" t="str">
        <f t="shared" si="14"/>
        <v/>
      </c>
    </row>
    <row r="104" spans="2:24" s="29" customFormat="1" ht="33" customHeight="1">
      <c r="B104" s="50"/>
      <c r="C104" s="49"/>
      <c r="D104" s="39"/>
      <c r="E104" s="39"/>
      <c r="F104" s="49"/>
      <c r="G104" s="39"/>
      <c r="H104" s="39"/>
      <c r="I104" s="50"/>
      <c r="J104" s="28"/>
      <c r="K104" s="43"/>
      <c r="L104" s="47" t="str">
        <f t="shared" si="19"/>
        <v/>
      </c>
      <c r="M104" s="43"/>
      <c r="N104" s="44"/>
      <c r="O104" s="67"/>
      <c r="P104" s="70"/>
      <c r="Q104" s="71"/>
      <c r="R104" s="71"/>
      <c r="S104" s="72"/>
      <c r="T104" s="67"/>
      <c r="U104" s="42" t="str">
        <f t="shared" si="15"/>
        <v/>
      </c>
      <c r="V104" s="42" t="str">
        <f t="shared" si="16"/>
        <v/>
      </c>
      <c r="W104" s="42" t="str">
        <f t="shared" si="17"/>
        <v/>
      </c>
      <c r="X104" s="45" t="str">
        <f t="shared" si="14"/>
        <v/>
      </c>
    </row>
    <row r="105" spans="2:24" s="29" customFormat="1" ht="33" customHeight="1">
      <c r="B105" s="50"/>
      <c r="C105" s="49"/>
      <c r="D105" s="39"/>
      <c r="E105" s="39"/>
      <c r="F105" s="49"/>
      <c r="G105" s="39"/>
      <c r="H105" s="39"/>
      <c r="I105" s="50"/>
      <c r="J105" s="28"/>
      <c r="K105" s="43"/>
      <c r="L105" s="47" t="str">
        <f t="shared" si="19"/>
        <v/>
      </c>
      <c r="M105" s="43"/>
      <c r="N105" s="44"/>
      <c r="O105" s="67"/>
      <c r="P105" s="70"/>
      <c r="Q105" s="71"/>
      <c r="R105" s="71"/>
      <c r="S105" s="72"/>
      <c r="T105" s="67"/>
      <c r="U105" s="42" t="str">
        <f t="shared" si="15"/>
        <v/>
      </c>
      <c r="V105" s="42" t="str">
        <f t="shared" si="16"/>
        <v/>
      </c>
      <c r="W105" s="42" t="str">
        <f t="shared" si="17"/>
        <v/>
      </c>
      <c r="X105" s="45" t="str">
        <f t="shared" si="14"/>
        <v/>
      </c>
    </row>
    <row r="106" spans="2:24" s="29" customFormat="1" ht="33" customHeight="1">
      <c r="B106" s="50"/>
      <c r="C106" s="49"/>
      <c r="D106" s="39"/>
      <c r="E106" s="39"/>
      <c r="F106" s="49"/>
      <c r="G106" s="39"/>
      <c r="H106" s="39"/>
      <c r="I106" s="50"/>
      <c r="J106" s="28"/>
      <c r="K106" s="43"/>
      <c r="L106" s="47" t="str">
        <f t="shared" si="19"/>
        <v/>
      </c>
      <c r="M106" s="43"/>
      <c r="N106" s="44"/>
      <c r="O106" s="67"/>
      <c r="P106" s="70"/>
      <c r="Q106" s="71"/>
      <c r="R106" s="71"/>
      <c r="S106" s="72"/>
      <c r="T106" s="67"/>
      <c r="U106" s="42" t="str">
        <f t="shared" si="15"/>
        <v/>
      </c>
      <c r="V106" s="42" t="str">
        <f t="shared" si="16"/>
        <v/>
      </c>
      <c r="W106" s="42" t="str">
        <f t="shared" si="17"/>
        <v/>
      </c>
      <c r="X106" s="45" t="str">
        <f t="shared" si="14"/>
        <v/>
      </c>
    </row>
    <row r="107" spans="2:24" s="29" customFormat="1" ht="33" customHeight="1">
      <c r="B107" s="50"/>
      <c r="C107" s="49"/>
      <c r="D107" s="39"/>
      <c r="E107" s="39"/>
      <c r="F107" s="49"/>
      <c r="G107" s="39"/>
      <c r="H107" s="39"/>
      <c r="I107" s="50"/>
      <c r="J107" s="28"/>
      <c r="K107" s="43"/>
      <c r="L107" s="47" t="str">
        <f t="shared" si="19"/>
        <v/>
      </c>
      <c r="M107" s="43"/>
      <c r="N107" s="44"/>
      <c r="O107" s="67"/>
      <c r="P107" s="70"/>
      <c r="Q107" s="71"/>
      <c r="R107" s="71"/>
      <c r="S107" s="72"/>
      <c r="T107" s="67"/>
      <c r="U107" s="42" t="str">
        <f t="shared" si="15"/>
        <v/>
      </c>
      <c r="V107" s="42" t="str">
        <f t="shared" si="16"/>
        <v/>
      </c>
      <c r="W107" s="42" t="str">
        <f t="shared" si="17"/>
        <v/>
      </c>
      <c r="X107" s="45" t="str">
        <f t="shared" si="14"/>
        <v/>
      </c>
    </row>
    <row r="108" spans="2:24" s="29" customFormat="1" ht="33" customHeight="1">
      <c r="B108" s="50"/>
      <c r="C108" s="49"/>
      <c r="D108" s="39"/>
      <c r="E108" s="39"/>
      <c r="F108" s="49"/>
      <c r="G108" s="39"/>
      <c r="H108" s="39"/>
      <c r="I108" s="50"/>
      <c r="J108" s="28"/>
      <c r="K108" s="43"/>
      <c r="L108" s="47" t="str">
        <f t="shared" si="19"/>
        <v/>
      </c>
      <c r="M108" s="43"/>
      <c r="N108" s="44"/>
      <c r="O108" s="67"/>
      <c r="P108" s="70"/>
      <c r="Q108" s="71"/>
      <c r="R108" s="71"/>
      <c r="S108" s="72"/>
      <c r="T108" s="67"/>
      <c r="U108" s="42" t="str">
        <f t="shared" si="15"/>
        <v/>
      </c>
      <c r="V108" s="42" t="str">
        <f t="shared" si="16"/>
        <v/>
      </c>
      <c r="W108" s="42" t="str">
        <f t="shared" si="17"/>
        <v/>
      </c>
      <c r="X108" s="45" t="str">
        <f t="shared" si="14"/>
        <v/>
      </c>
    </row>
    <row r="109" spans="2:24" s="29" customFormat="1" ht="33" customHeight="1">
      <c r="B109" s="50"/>
      <c r="C109" s="49"/>
      <c r="D109" s="39"/>
      <c r="E109" s="39"/>
      <c r="F109" s="49"/>
      <c r="G109" s="39"/>
      <c r="H109" s="39"/>
      <c r="I109" s="50"/>
      <c r="J109" s="28"/>
      <c r="K109" s="43"/>
      <c r="L109" s="47" t="str">
        <f t="shared" si="19"/>
        <v/>
      </c>
      <c r="M109" s="43"/>
      <c r="N109" s="44"/>
      <c r="O109" s="67"/>
      <c r="P109" s="70"/>
      <c r="Q109" s="71"/>
      <c r="R109" s="71"/>
      <c r="S109" s="72"/>
      <c r="T109" s="67"/>
      <c r="U109" s="42" t="str">
        <f t="shared" si="15"/>
        <v/>
      </c>
      <c r="V109" s="42" t="str">
        <f t="shared" si="16"/>
        <v/>
      </c>
      <c r="W109" s="42" t="str">
        <f t="shared" si="17"/>
        <v/>
      </c>
      <c r="X109" s="45" t="str">
        <f t="shared" si="14"/>
        <v/>
      </c>
    </row>
    <row r="110" spans="2:24" s="29" customFormat="1" ht="33" customHeight="1">
      <c r="B110" s="50"/>
      <c r="C110" s="49"/>
      <c r="D110" s="39"/>
      <c r="E110" s="39"/>
      <c r="F110" s="49"/>
      <c r="G110" s="39"/>
      <c r="H110" s="39"/>
      <c r="I110" s="50"/>
      <c r="J110" s="28"/>
      <c r="K110" s="43"/>
      <c r="L110" s="47" t="str">
        <f t="shared" si="19"/>
        <v/>
      </c>
      <c r="M110" s="43"/>
      <c r="N110" s="44"/>
      <c r="O110" s="67"/>
      <c r="P110" s="70"/>
      <c r="Q110" s="71"/>
      <c r="R110" s="71"/>
      <c r="S110" s="72"/>
      <c r="T110" s="67"/>
      <c r="U110" s="42" t="str">
        <f t="shared" si="15"/>
        <v/>
      </c>
      <c r="V110" s="42" t="str">
        <f t="shared" si="16"/>
        <v/>
      </c>
      <c r="W110" s="42" t="str">
        <f t="shared" si="17"/>
        <v/>
      </c>
      <c r="X110" s="45" t="str">
        <f t="shared" si="14"/>
        <v/>
      </c>
    </row>
    <row r="111" spans="2:24" s="29" customFormat="1" ht="33" customHeight="1">
      <c r="B111" s="50"/>
      <c r="C111" s="49"/>
      <c r="D111" s="39"/>
      <c r="E111" s="39"/>
      <c r="F111" s="49"/>
      <c r="G111" s="39"/>
      <c r="H111" s="39"/>
      <c r="I111" s="50"/>
      <c r="J111" s="28"/>
      <c r="K111" s="43"/>
      <c r="L111" s="47" t="str">
        <f t="shared" si="19"/>
        <v/>
      </c>
      <c r="M111" s="43"/>
      <c r="N111" s="44"/>
      <c r="O111" s="67"/>
      <c r="P111" s="70"/>
      <c r="Q111" s="71"/>
      <c r="R111" s="71"/>
      <c r="S111" s="72"/>
      <c r="T111" s="67"/>
      <c r="U111" s="42" t="str">
        <f t="shared" si="15"/>
        <v/>
      </c>
      <c r="V111" s="42" t="str">
        <f t="shared" si="16"/>
        <v/>
      </c>
      <c r="W111" s="42" t="str">
        <f t="shared" si="17"/>
        <v/>
      </c>
      <c r="X111" s="45" t="str">
        <f t="shared" si="14"/>
        <v/>
      </c>
    </row>
    <row r="112" spans="2:24" s="29" customFormat="1" ht="33" customHeight="1">
      <c r="B112" s="50"/>
      <c r="C112" s="49"/>
      <c r="D112" s="39"/>
      <c r="E112" s="39"/>
      <c r="F112" s="49"/>
      <c r="G112" s="39"/>
      <c r="H112" s="39"/>
      <c r="I112" s="50"/>
      <c r="J112" s="28"/>
      <c r="K112" s="43"/>
      <c r="L112" s="47" t="str">
        <f t="shared" si="19"/>
        <v/>
      </c>
      <c r="M112" s="43"/>
      <c r="N112" s="44"/>
      <c r="O112" s="67"/>
      <c r="P112" s="70"/>
      <c r="Q112" s="71"/>
      <c r="R112" s="71"/>
      <c r="S112" s="72"/>
      <c r="T112" s="67"/>
      <c r="U112" s="42" t="str">
        <f t="shared" si="15"/>
        <v/>
      </c>
      <c r="V112" s="42" t="str">
        <f t="shared" si="16"/>
        <v/>
      </c>
      <c r="W112" s="42" t="str">
        <f t="shared" si="17"/>
        <v/>
      </c>
      <c r="X112" s="45" t="str">
        <f t="shared" si="14"/>
        <v/>
      </c>
    </row>
    <row r="113" spans="2:24" s="29" customFormat="1" ht="33" customHeight="1">
      <c r="B113" s="50"/>
      <c r="C113" s="49"/>
      <c r="D113" s="39"/>
      <c r="E113" s="39"/>
      <c r="F113" s="49"/>
      <c r="G113" s="39"/>
      <c r="H113" s="39"/>
      <c r="I113" s="50"/>
      <c r="J113" s="28"/>
      <c r="K113" s="43"/>
      <c r="L113" s="47" t="str">
        <f t="shared" si="19"/>
        <v/>
      </c>
      <c r="M113" s="43"/>
      <c r="N113" s="44"/>
      <c r="O113" s="67"/>
      <c r="P113" s="70"/>
      <c r="Q113" s="71"/>
      <c r="R113" s="71"/>
      <c r="S113" s="72"/>
      <c r="T113" s="67"/>
      <c r="U113" s="42" t="str">
        <f t="shared" si="15"/>
        <v/>
      </c>
      <c r="V113" s="42" t="str">
        <f t="shared" si="16"/>
        <v/>
      </c>
      <c r="W113" s="42" t="str">
        <f t="shared" si="17"/>
        <v/>
      </c>
      <c r="X113" s="45" t="str">
        <f t="shared" si="14"/>
        <v/>
      </c>
    </row>
    <row r="114" spans="2:24" s="29" customFormat="1" ht="33" customHeight="1">
      <c r="B114" s="50"/>
      <c r="C114" s="49"/>
      <c r="D114" s="39"/>
      <c r="E114" s="39"/>
      <c r="F114" s="49"/>
      <c r="G114" s="39"/>
      <c r="H114" s="39"/>
      <c r="I114" s="50"/>
      <c r="J114" s="28"/>
      <c r="K114" s="43"/>
      <c r="L114" s="47" t="str">
        <f t="shared" si="19"/>
        <v/>
      </c>
      <c r="M114" s="43"/>
      <c r="N114" s="44"/>
      <c r="O114" s="67"/>
      <c r="P114" s="70"/>
      <c r="Q114" s="71"/>
      <c r="R114" s="71"/>
      <c r="S114" s="72"/>
      <c r="T114" s="67"/>
      <c r="U114" s="42" t="str">
        <f t="shared" si="15"/>
        <v/>
      </c>
      <c r="V114" s="42" t="str">
        <f t="shared" si="16"/>
        <v/>
      </c>
      <c r="W114" s="42" t="str">
        <f t="shared" si="17"/>
        <v/>
      </c>
      <c r="X114" s="45" t="str">
        <f t="shared" si="14"/>
        <v/>
      </c>
    </row>
    <row r="115" spans="2:24" s="29" customFormat="1" ht="33" customHeight="1">
      <c r="B115" s="50"/>
      <c r="C115" s="49"/>
      <c r="D115" s="39"/>
      <c r="E115" s="39"/>
      <c r="F115" s="49"/>
      <c r="G115" s="39"/>
      <c r="H115" s="39"/>
      <c r="I115" s="50"/>
      <c r="J115" s="28"/>
      <c r="K115" s="43"/>
      <c r="L115" s="47" t="str">
        <f t="shared" si="19"/>
        <v/>
      </c>
      <c r="M115" s="43"/>
      <c r="N115" s="44"/>
      <c r="O115" s="67"/>
      <c r="P115" s="70"/>
      <c r="Q115" s="71"/>
      <c r="R115" s="71"/>
      <c r="S115" s="72"/>
      <c r="T115" s="67"/>
      <c r="U115" s="42" t="str">
        <f t="shared" si="15"/>
        <v/>
      </c>
      <c r="V115" s="42" t="str">
        <f t="shared" si="16"/>
        <v/>
      </c>
      <c r="W115" s="42" t="str">
        <f t="shared" si="17"/>
        <v/>
      </c>
      <c r="X115" s="45" t="str">
        <f t="shared" si="14"/>
        <v/>
      </c>
    </row>
    <row r="116" spans="2:24" s="29" customFormat="1" ht="33" customHeight="1">
      <c r="B116" s="50"/>
      <c r="C116" s="49"/>
      <c r="D116" s="39"/>
      <c r="E116" s="39"/>
      <c r="F116" s="49"/>
      <c r="G116" s="39"/>
      <c r="H116" s="39"/>
      <c r="I116" s="50"/>
      <c r="J116" s="28"/>
      <c r="K116" s="43"/>
      <c r="L116" s="47" t="str">
        <f t="shared" si="19"/>
        <v/>
      </c>
      <c r="M116" s="43"/>
      <c r="N116" s="44"/>
      <c r="O116" s="67"/>
      <c r="P116" s="70"/>
      <c r="Q116" s="71"/>
      <c r="R116" s="71"/>
      <c r="S116" s="72"/>
      <c r="T116" s="67"/>
      <c r="U116" s="42" t="str">
        <f t="shared" si="15"/>
        <v/>
      </c>
      <c r="V116" s="42" t="str">
        <f t="shared" si="16"/>
        <v/>
      </c>
      <c r="W116" s="42" t="str">
        <f t="shared" si="17"/>
        <v/>
      </c>
      <c r="X116" s="45" t="str">
        <f t="shared" si="14"/>
        <v/>
      </c>
    </row>
    <row r="117" spans="2:24" s="29" customFormat="1" ht="33" customHeight="1">
      <c r="B117" s="50"/>
      <c r="C117" s="49"/>
      <c r="D117" s="39"/>
      <c r="E117" s="39"/>
      <c r="F117" s="49"/>
      <c r="G117" s="39"/>
      <c r="H117" s="39"/>
      <c r="I117" s="50"/>
      <c r="J117" s="28"/>
      <c r="K117" s="43"/>
      <c r="L117" s="47" t="str">
        <f t="shared" si="19"/>
        <v/>
      </c>
      <c r="M117" s="43"/>
      <c r="N117" s="44"/>
      <c r="O117" s="67"/>
      <c r="P117" s="70"/>
      <c r="Q117" s="71"/>
      <c r="R117" s="71"/>
      <c r="S117" s="72"/>
      <c r="T117" s="67"/>
      <c r="U117" s="42" t="str">
        <f t="shared" si="15"/>
        <v/>
      </c>
      <c r="V117" s="42" t="str">
        <f t="shared" si="16"/>
        <v/>
      </c>
      <c r="W117" s="42" t="str">
        <f t="shared" si="17"/>
        <v/>
      </c>
      <c r="X117" s="45" t="str">
        <f t="shared" si="14"/>
        <v/>
      </c>
    </row>
    <row r="118" spans="2:24" s="29" customFormat="1" ht="33" customHeight="1">
      <c r="B118" s="50"/>
      <c r="C118" s="49"/>
      <c r="D118" s="39"/>
      <c r="E118" s="39"/>
      <c r="F118" s="49"/>
      <c r="G118" s="39"/>
      <c r="H118" s="39"/>
      <c r="I118" s="50"/>
      <c r="J118" s="28"/>
      <c r="K118" s="43"/>
      <c r="L118" s="47" t="str">
        <f t="shared" ref="L118:L149" si="20">IF(AND(K118="",O118=""),"",IF(K118=0,"NO APLICA",IF(O118&gt;0,"SI","NO")))</f>
        <v/>
      </c>
      <c r="M118" s="43"/>
      <c r="N118" s="44"/>
      <c r="O118" s="67"/>
      <c r="P118" s="70"/>
      <c r="Q118" s="71"/>
      <c r="R118" s="71"/>
      <c r="S118" s="72"/>
      <c r="T118" s="67"/>
      <c r="U118" s="42" t="str">
        <f t="shared" si="15"/>
        <v/>
      </c>
      <c r="V118" s="42" t="str">
        <f t="shared" si="16"/>
        <v/>
      </c>
      <c r="W118" s="42" t="str">
        <f t="shared" si="17"/>
        <v/>
      </c>
      <c r="X118" s="45" t="str">
        <f t="shared" si="14"/>
        <v/>
      </c>
    </row>
    <row r="119" spans="2:24" s="29" customFormat="1" ht="33" customHeight="1">
      <c r="B119" s="50"/>
      <c r="C119" s="49"/>
      <c r="D119" s="39"/>
      <c r="E119" s="39"/>
      <c r="F119" s="49"/>
      <c r="G119" s="39"/>
      <c r="H119" s="39"/>
      <c r="I119" s="50"/>
      <c r="J119" s="28"/>
      <c r="K119" s="43"/>
      <c r="L119" s="47" t="str">
        <f t="shared" si="20"/>
        <v/>
      </c>
      <c r="M119" s="43"/>
      <c r="N119" s="44"/>
      <c r="O119" s="67"/>
      <c r="P119" s="70"/>
      <c r="Q119" s="71"/>
      <c r="R119" s="71"/>
      <c r="S119" s="72"/>
      <c r="T119" s="67"/>
      <c r="U119" s="42" t="str">
        <f t="shared" si="15"/>
        <v/>
      </c>
      <c r="V119" s="42" t="str">
        <f t="shared" si="16"/>
        <v/>
      </c>
      <c r="W119" s="42" t="str">
        <f t="shared" si="17"/>
        <v/>
      </c>
      <c r="X119" s="45" t="str">
        <f t="shared" si="14"/>
        <v/>
      </c>
    </row>
    <row r="120" spans="2:24" s="29" customFormat="1" ht="33" customHeight="1">
      <c r="B120" s="50"/>
      <c r="C120" s="49"/>
      <c r="D120" s="39"/>
      <c r="E120" s="39"/>
      <c r="F120" s="49"/>
      <c r="G120" s="39"/>
      <c r="H120" s="39"/>
      <c r="I120" s="50"/>
      <c r="J120" s="28"/>
      <c r="K120" s="43"/>
      <c r="L120" s="47" t="str">
        <f t="shared" si="20"/>
        <v/>
      </c>
      <c r="M120" s="43"/>
      <c r="N120" s="44"/>
      <c r="O120" s="67"/>
      <c r="P120" s="70"/>
      <c r="Q120" s="71"/>
      <c r="R120" s="71"/>
      <c r="S120" s="72"/>
      <c r="T120" s="67"/>
      <c r="U120" s="42" t="str">
        <f t="shared" si="15"/>
        <v/>
      </c>
      <c r="V120" s="42" t="str">
        <f t="shared" si="16"/>
        <v/>
      </c>
      <c r="W120" s="42" t="str">
        <f t="shared" si="17"/>
        <v/>
      </c>
      <c r="X120" s="45" t="str">
        <f t="shared" si="14"/>
        <v/>
      </c>
    </row>
    <row r="121" spans="2:24" s="29" customFormat="1" ht="33" customHeight="1">
      <c r="B121" s="50"/>
      <c r="C121" s="49"/>
      <c r="D121" s="39"/>
      <c r="E121" s="39"/>
      <c r="F121" s="49"/>
      <c r="G121" s="39"/>
      <c r="H121" s="39"/>
      <c r="I121" s="50"/>
      <c r="J121" s="28"/>
      <c r="K121" s="43"/>
      <c r="L121" s="47" t="str">
        <f t="shared" si="20"/>
        <v/>
      </c>
      <c r="M121" s="43"/>
      <c r="N121" s="44"/>
      <c r="O121" s="67"/>
      <c r="P121" s="70"/>
      <c r="Q121" s="71"/>
      <c r="R121" s="71"/>
      <c r="S121" s="72"/>
      <c r="T121" s="67"/>
      <c r="U121" s="42" t="str">
        <f t="shared" si="15"/>
        <v/>
      </c>
      <c r="V121" s="42" t="str">
        <f t="shared" si="16"/>
        <v/>
      </c>
      <c r="W121" s="42" t="str">
        <f t="shared" si="17"/>
        <v/>
      </c>
      <c r="X121" s="45" t="str">
        <f t="shared" si="14"/>
        <v/>
      </c>
    </row>
    <row r="122" spans="2:24" s="29" customFormat="1" ht="33" customHeight="1">
      <c r="B122" s="50"/>
      <c r="C122" s="49"/>
      <c r="D122" s="39"/>
      <c r="E122" s="39"/>
      <c r="F122" s="49"/>
      <c r="G122" s="39"/>
      <c r="H122" s="39"/>
      <c r="I122" s="50"/>
      <c r="J122" s="28"/>
      <c r="K122" s="43"/>
      <c r="L122" s="47" t="str">
        <f t="shared" si="20"/>
        <v/>
      </c>
      <c r="M122" s="43"/>
      <c r="N122" s="44"/>
      <c r="O122" s="67"/>
      <c r="P122" s="70"/>
      <c r="Q122" s="71"/>
      <c r="R122" s="71"/>
      <c r="S122" s="72"/>
      <c r="T122" s="67"/>
      <c r="U122" s="42" t="str">
        <f t="shared" si="15"/>
        <v/>
      </c>
      <c r="V122" s="42" t="str">
        <f t="shared" si="16"/>
        <v/>
      </c>
      <c r="W122" s="42" t="str">
        <f t="shared" si="17"/>
        <v/>
      </c>
      <c r="X122" s="45" t="str">
        <f t="shared" si="14"/>
        <v/>
      </c>
    </row>
    <row r="123" spans="2:24" s="29" customFormat="1" ht="33" customHeight="1">
      <c r="B123" s="50"/>
      <c r="C123" s="49"/>
      <c r="D123" s="39"/>
      <c r="E123" s="39"/>
      <c r="F123" s="49"/>
      <c r="G123" s="39"/>
      <c r="H123" s="39"/>
      <c r="I123" s="50"/>
      <c r="J123" s="28"/>
      <c r="K123" s="43"/>
      <c r="L123" s="47" t="str">
        <f t="shared" si="20"/>
        <v/>
      </c>
      <c r="M123" s="43"/>
      <c r="N123" s="44"/>
      <c r="O123" s="67"/>
      <c r="P123" s="70"/>
      <c r="Q123" s="71"/>
      <c r="R123" s="71"/>
      <c r="S123" s="72"/>
      <c r="T123" s="67"/>
      <c r="U123" s="42" t="str">
        <f t="shared" si="15"/>
        <v/>
      </c>
      <c r="V123" s="42" t="str">
        <f t="shared" si="16"/>
        <v/>
      </c>
      <c r="W123" s="42" t="str">
        <f t="shared" si="17"/>
        <v/>
      </c>
      <c r="X123" s="45" t="str">
        <f t="shared" si="14"/>
        <v/>
      </c>
    </row>
    <row r="124" spans="2:24" s="29" customFormat="1" ht="33" customHeight="1">
      <c r="B124" s="50"/>
      <c r="C124" s="49"/>
      <c r="D124" s="39"/>
      <c r="E124" s="39"/>
      <c r="F124" s="49"/>
      <c r="G124" s="39"/>
      <c r="H124" s="39"/>
      <c r="I124" s="50"/>
      <c r="J124" s="28"/>
      <c r="K124" s="43"/>
      <c r="L124" s="47" t="str">
        <f t="shared" si="20"/>
        <v/>
      </c>
      <c r="M124" s="43"/>
      <c r="N124" s="44"/>
      <c r="O124" s="67"/>
      <c r="P124" s="70"/>
      <c r="Q124" s="71"/>
      <c r="R124" s="71"/>
      <c r="S124" s="72"/>
      <c r="T124" s="67"/>
      <c r="U124" s="42" t="str">
        <f t="shared" si="15"/>
        <v/>
      </c>
      <c r="V124" s="42" t="str">
        <f t="shared" si="16"/>
        <v/>
      </c>
      <c r="W124" s="42" t="str">
        <f t="shared" si="17"/>
        <v/>
      </c>
      <c r="X124" s="45" t="str">
        <f t="shared" si="14"/>
        <v/>
      </c>
    </row>
    <row r="125" spans="2:24" s="29" customFormat="1" ht="33" customHeight="1">
      <c r="B125" s="50"/>
      <c r="C125" s="49"/>
      <c r="D125" s="39"/>
      <c r="E125" s="39"/>
      <c r="F125" s="49"/>
      <c r="G125" s="39"/>
      <c r="H125" s="39"/>
      <c r="I125" s="50"/>
      <c r="J125" s="28"/>
      <c r="K125" s="43"/>
      <c r="L125" s="47" t="str">
        <f t="shared" si="20"/>
        <v/>
      </c>
      <c r="M125" s="43"/>
      <c r="N125" s="44"/>
      <c r="O125" s="67"/>
      <c r="P125" s="70"/>
      <c r="Q125" s="71"/>
      <c r="R125" s="71"/>
      <c r="S125" s="72"/>
      <c r="T125" s="67"/>
      <c r="U125" s="42" t="str">
        <f t="shared" si="15"/>
        <v/>
      </c>
      <c r="V125" s="42" t="str">
        <f t="shared" si="16"/>
        <v/>
      </c>
      <c r="W125" s="42" t="str">
        <f t="shared" si="17"/>
        <v/>
      </c>
      <c r="X125" s="45" t="str">
        <f t="shared" si="14"/>
        <v/>
      </c>
    </row>
    <row r="126" spans="2:24" s="29" customFormat="1" ht="33" customHeight="1">
      <c r="B126" s="50"/>
      <c r="C126" s="49"/>
      <c r="D126" s="39"/>
      <c r="E126" s="39"/>
      <c r="F126" s="49"/>
      <c r="G126" s="39"/>
      <c r="H126" s="39"/>
      <c r="I126" s="50"/>
      <c r="J126" s="28"/>
      <c r="K126" s="43"/>
      <c r="L126" s="47" t="str">
        <f t="shared" si="20"/>
        <v/>
      </c>
      <c r="M126" s="43"/>
      <c r="N126" s="44"/>
      <c r="O126" s="67"/>
      <c r="P126" s="70"/>
      <c r="Q126" s="71"/>
      <c r="R126" s="71"/>
      <c r="S126" s="72"/>
      <c r="T126" s="67"/>
      <c r="U126" s="42" t="str">
        <f t="shared" si="15"/>
        <v/>
      </c>
      <c r="V126" s="42" t="str">
        <f t="shared" si="16"/>
        <v/>
      </c>
      <c r="W126" s="42" t="str">
        <f t="shared" si="17"/>
        <v/>
      </c>
      <c r="X126" s="45" t="str">
        <f t="shared" si="14"/>
        <v/>
      </c>
    </row>
    <row r="127" spans="2:24" s="29" customFormat="1" ht="33" customHeight="1">
      <c r="B127" s="50"/>
      <c r="C127" s="49"/>
      <c r="D127" s="39"/>
      <c r="E127" s="39"/>
      <c r="F127" s="49"/>
      <c r="G127" s="39"/>
      <c r="H127" s="39"/>
      <c r="I127" s="50"/>
      <c r="J127" s="28"/>
      <c r="K127" s="43"/>
      <c r="L127" s="47" t="str">
        <f t="shared" si="20"/>
        <v/>
      </c>
      <c r="M127" s="43"/>
      <c r="N127" s="44"/>
      <c r="O127" s="67"/>
      <c r="P127" s="70"/>
      <c r="Q127" s="71"/>
      <c r="R127" s="71"/>
      <c r="S127" s="72"/>
      <c r="T127" s="67"/>
      <c r="U127" s="42" t="str">
        <f t="shared" si="15"/>
        <v/>
      </c>
      <c r="V127" s="42" t="str">
        <f t="shared" si="16"/>
        <v/>
      </c>
      <c r="W127" s="42" t="str">
        <f t="shared" si="17"/>
        <v/>
      </c>
      <c r="X127" s="45" t="str">
        <f t="shared" si="14"/>
        <v/>
      </c>
    </row>
    <row r="128" spans="2:24" s="29" customFormat="1" ht="33" customHeight="1">
      <c r="B128" s="50"/>
      <c r="C128" s="49"/>
      <c r="D128" s="39"/>
      <c r="E128" s="39"/>
      <c r="F128" s="49"/>
      <c r="G128" s="39"/>
      <c r="H128" s="39"/>
      <c r="I128" s="50"/>
      <c r="J128" s="28"/>
      <c r="K128" s="43"/>
      <c r="L128" s="47" t="str">
        <f t="shared" si="20"/>
        <v/>
      </c>
      <c r="M128" s="43"/>
      <c r="N128" s="44"/>
      <c r="O128" s="67"/>
      <c r="P128" s="70"/>
      <c r="Q128" s="71"/>
      <c r="R128" s="71"/>
      <c r="S128" s="72"/>
      <c r="T128" s="67"/>
      <c r="U128" s="42" t="str">
        <f t="shared" si="15"/>
        <v/>
      </c>
      <c r="V128" s="42" t="str">
        <f t="shared" si="16"/>
        <v/>
      </c>
      <c r="W128" s="42" t="str">
        <f t="shared" si="17"/>
        <v/>
      </c>
      <c r="X128" s="45" t="str">
        <f t="shared" si="14"/>
        <v/>
      </c>
    </row>
    <row r="129" spans="2:24" s="29" customFormat="1" ht="33" customHeight="1">
      <c r="B129" s="50"/>
      <c r="C129" s="49"/>
      <c r="D129" s="39"/>
      <c r="E129" s="39"/>
      <c r="F129" s="49"/>
      <c r="G129" s="39"/>
      <c r="H129" s="39"/>
      <c r="I129" s="50"/>
      <c r="J129" s="28"/>
      <c r="K129" s="43"/>
      <c r="L129" s="47" t="str">
        <f t="shared" si="20"/>
        <v/>
      </c>
      <c r="M129" s="43"/>
      <c r="N129" s="44"/>
      <c r="O129" s="67"/>
      <c r="P129" s="70"/>
      <c r="Q129" s="71"/>
      <c r="R129" s="71"/>
      <c r="S129" s="72"/>
      <c r="T129" s="67"/>
      <c r="U129" s="42" t="str">
        <f t="shared" si="15"/>
        <v/>
      </c>
      <c r="V129" s="42" t="str">
        <f t="shared" si="16"/>
        <v/>
      </c>
      <c r="W129" s="42" t="str">
        <f t="shared" si="17"/>
        <v/>
      </c>
      <c r="X129" s="45" t="str">
        <f t="shared" si="14"/>
        <v/>
      </c>
    </row>
    <row r="130" spans="2:24" s="29" customFormat="1" ht="33" customHeight="1">
      <c r="B130" s="50"/>
      <c r="C130" s="49"/>
      <c r="D130" s="39"/>
      <c r="E130" s="39"/>
      <c r="F130" s="49"/>
      <c r="G130" s="39"/>
      <c r="H130" s="39"/>
      <c r="I130" s="50"/>
      <c r="J130" s="28"/>
      <c r="K130" s="43"/>
      <c r="L130" s="47" t="str">
        <f t="shared" si="20"/>
        <v/>
      </c>
      <c r="M130" s="43"/>
      <c r="N130" s="44"/>
      <c r="O130" s="67"/>
      <c r="P130" s="70"/>
      <c r="Q130" s="71"/>
      <c r="R130" s="71"/>
      <c r="S130" s="72"/>
      <c r="T130" s="67"/>
      <c r="U130" s="42" t="str">
        <f t="shared" si="15"/>
        <v/>
      </c>
      <c r="V130" s="42" t="str">
        <f t="shared" si="16"/>
        <v/>
      </c>
      <c r="W130" s="42" t="str">
        <f t="shared" si="17"/>
        <v/>
      </c>
      <c r="X130" s="45" t="str">
        <f t="shared" si="14"/>
        <v/>
      </c>
    </row>
    <row r="131" spans="2:24" s="29" customFormat="1" ht="33" customHeight="1">
      <c r="B131" s="50"/>
      <c r="C131" s="49"/>
      <c r="D131" s="39"/>
      <c r="E131" s="39"/>
      <c r="F131" s="49"/>
      <c r="G131" s="39"/>
      <c r="H131" s="39"/>
      <c r="I131" s="50"/>
      <c r="J131" s="28"/>
      <c r="K131" s="43"/>
      <c r="L131" s="47" t="str">
        <f t="shared" si="20"/>
        <v/>
      </c>
      <c r="M131" s="43"/>
      <c r="N131" s="44"/>
      <c r="O131" s="67"/>
      <c r="P131" s="70"/>
      <c r="Q131" s="71"/>
      <c r="R131" s="71"/>
      <c r="S131" s="72"/>
      <c r="T131" s="67"/>
      <c r="U131" s="42" t="str">
        <f t="shared" si="15"/>
        <v/>
      </c>
      <c r="V131" s="42" t="str">
        <f t="shared" si="16"/>
        <v/>
      </c>
      <c r="W131" s="42" t="str">
        <f t="shared" si="17"/>
        <v/>
      </c>
      <c r="X131" s="45" t="str">
        <f t="shared" si="14"/>
        <v/>
      </c>
    </row>
    <row r="132" spans="2:24" s="29" customFormat="1" ht="33" customHeight="1">
      <c r="B132" s="50"/>
      <c r="C132" s="49"/>
      <c r="D132" s="39"/>
      <c r="E132" s="39"/>
      <c r="F132" s="49"/>
      <c r="G132" s="39"/>
      <c r="H132" s="39"/>
      <c r="I132" s="50"/>
      <c r="J132" s="28"/>
      <c r="K132" s="43"/>
      <c r="L132" s="47" t="str">
        <f t="shared" si="20"/>
        <v/>
      </c>
      <c r="M132" s="43"/>
      <c r="N132" s="44"/>
      <c r="O132" s="67"/>
      <c r="P132" s="70"/>
      <c r="Q132" s="71"/>
      <c r="R132" s="71"/>
      <c r="S132" s="72"/>
      <c r="T132" s="67"/>
      <c r="U132" s="42" t="str">
        <f t="shared" si="15"/>
        <v/>
      </c>
      <c r="V132" s="42" t="str">
        <f t="shared" si="16"/>
        <v/>
      </c>
      <c r="W132" s="42" t="str">
        <f t="shared" si="17"/>
        <v/>
      </c>
      <c r="X132" s="45" t="str">
        <f t="shared" si="14"/>
        <v/>
      </c>
    </row>
    <row r="133" spans="2:24" s="29" customFormat="1" ht="33" customHeight="1">
      <c r="B133" s="50"/>
      <c r="C133" s="49"/>
      <c r="D133" s="39"/>
      <c r="E133" s="39"/>
      <c r="F133" s="49"/>
      <c r="G133" s="39"/>
      <c r="H133" s="39"/>
      <c r="I133" s="50"/>
      <c r="J133" s="28"/>
      <c r="K133" s="43"/>
      <c r="L133" s="47" t="str">
        <f t="shared" si="20"/>
        <v/>
      </c>
      <c r="M133" s="43"/>
      <c r="N133" s="44"/>
      <c r="O133" s="67"/>
      <c r="P133" s="70"/>
      <c r="Q133" s="71"/>
      <c r="R133" s="71"/>
      <c r="S133" s="72"/>
      <c r="T133" s="67"/>
      <c r="U133" s="42" t="str">
        <f t="shared" si="15"/>
        <v/>
      </c>
      <c r="V133" s="42" t="str">
        <f t="shared" si="16"/>
        <v/>
      </c>
      <c r="W133" s="42" t="str">
        <f t="shared" si="17"/>
        <v/>
      </c>
      <c r="X133" s="45" t="str">
        <f t="shared" ref="X133:X196" si="21">IF(E133="","",IFERROR(T133/K133,"-"))</f>
        <v/>
      </c>
    </row>
    <row r="134" spans="2:24" s="29" customFormat="1" ht="33" customHeight="1">
      <c r="B134" s="50"/>
      <c r="C134" s="49"/>
      <c r="D134" s="39"/>
      <c r="E134" s="39"/>
      <c r="F134" s="49"/>
      <c r="G134" s="39"/>
      <c r="H134" s="39"/>
      <c r="I134" s="50"/>
      <c r="J134" s="28"/>
      <c r="K134" s="43"/>
      <c r="L134" s="47" t="str">
        <f t="shared" si="20"/>
        <v/>
      </c>
      <c r="M134" s="43"/>
      <c r="N134" s="44"/>
      <c r="O134" s="67"/>
      <c r="P134" s="70"/>
      <c r="Q134" s="71"/>
      <c r="R134" s="71"/>
      <c r="S134" s="72"/>
      <c r="T134" s="67"/>
      <c r="U134" s="42" t="str">
        <f t="shared" ref="U134:U197" si="22">IF(E134="","",IFERROR(P134/(SUM(P134,Q134,R134)),"-"))</f>
        <v/>
      </c>
      <c r="V134" s="42" t="str">
        <f t="shared" ref="V134:V197" si="23">IF(E134="","",IFERROR(Q134/(SUM(P134,Q134,R134)),"-"))</f>
        <v/>
      </c>
      <c r="W134" s="42" t="str">
        <f t="shared" ref="W134:W197" si="24">IF(E134="","",IFERROR(R134/(SUM(P134,Q134,R134)),"-"))</f>
        <v/>
      </c>
      <c r="X134" s="45" t="str">
        <f t="shared" si="21"/>
        <v/>
      </c>
    </row>
    <row r="135" spans="2:24" s="29" customFormat="1" ht="33" customHeight="1">
      <c r="B135" s="50"/>
      <c r="C135" s="49"/>
      <c r="D135" s="39"/>
      <c r="E135" s="39"/>
      <c r="F135" s="49"/>
      <c r="G135" s="39"/>
      <c r="H135" s="39"/>
      <c r="I135" s="50"/>
      <c r="J135" s="28"/>
      <c r="K135" s="43"/>
      <c r="L135" s="47" t="str">
        <f t="shared" si="20"/>
        <v/>
      </c>
      <c r="M135" s="43"/>
      <c r="N135" s="44"/>
      <c r="O135" s="67"/>
      <c r="P135" s="70"/>
      <c r="Q135" s="71"/>
      <c r="R135" s="71"/>
      <c r="S135" s="72"/>
      <c r="T135" s="67"/>
      <c r="U135" s="42" t="str">
        <f t="shared" si="22"/>
        <v/>
      </c>
      <c r="V135" s="42" t="str">
        <f t="shared" si="23"/>
        <v/>
      </c>
      <c r="W135" s="42" t="str">
        <f t="shared" si="24"/>
        <v/>
      </c>
      <c r="X135" s="45" t="str">
        <f t="shared" si="21"/>
        <v/>
      </c>
    </row>
    <row r="136" spans="2:24" s="29" customFormat="1" ht="33" customHeight="1">
      <c r="B136" s="50"/>
      <c r="C136" s="49"/>
      <c r="D136" s="39"/>
      <c r="E136" s="39"/>
      <c r="F136" s="49"/>
      <c r="G136" s="39"/>
      <c r="H136" s="39"/>
      <c r="I136" s="50"/>
      <c r="J136" s="28"/>
      <c r="K136" s="43"/>
      <c r="L136" s="47" t="str">
        <f t="shared" si="20"/>
        <v/>
      </c>
      <c r="M136" s="43"/>
      <c r="N136" s="44"/>
      <c r="O136" s="67"/>
      <c r="P136" s="70"/>
      <c r="Q136" s="71"/>
      <c r="R136" s="71"/>
      <c r="S136" s="72"/>
      <c r="T136" s="67"/>
      <c r="U136" s="42" t="str">
        <f t="shared" si="22"/>
        <v/>
      </c>
      <c r="V136" s="42" t="str">
        <f t="shared" si="23"/>
        <v/>
      </c>
      <c r="W136" s="42" t="str">
        <f t="shared" si="24"/>
        <v/>
      </c>
      <c r="X136" s="45" t="str">
        <f t="shared" si="21"/>
        <v/>
      </c>
    </row>
    <row r="137" spans="2:24" s="29" customFormat="1" ht="33" customHeight="1">
      <c r="B137" s="50"/>
      <c r="C137" s="49"/>
      <c r="D137" s="39"/>
      <c r="E137" s="39"/>
      <c r="F137" s="49"/>
      <c r="G137" s="39"/>
      <c r="H137" s="39"/>
      <c r="I137" s="50"/>
      <c r="J137" s="28"/>
      <c r="K137" s="43"/>
      <c r="L137" s="47" t="str">
        <f t="shared" si="20"/>
        <v/>
      </c>
      <c r="M137" s="43"/>
      <c r="N137" s="44"/>
      <c r="O137" s="67"/>
      <c r="P137" s="70"/>
      <c r="Q137" s="71"/>
      <c r="R137" s="71"/>
      <c r="S137" s="72"/>
      <c r="T137" s="67"/>
      <c r="U137" s="42" t="str">
        <f t="shared" si="22"/>
        <v/>
      </c>
      <c r="V137" s="42" t="str">
        <f t="shared" si="23"/>
        <v/>
      </c>
      <c r="W137" s="42" t="str">
        <f t="shared" si="24"/>
        <v/>
      </c>
      <c r="X137" s="45" t="str">
        <f t="shared" si="21"/>
        <v/>
      </c>
    </row>
    <row r="138" spans="2:24" s="29" customFormat="1" ht="33" customHeight="1">
      <c r="B138" s="50"/>
      <c r="C138" s="49"/>
      <c r="D138" s="39"/>
      <c r="E138" s="39"/>
      <c r="F138" s="49"/>
      <c r="G138" s="39"/>
      <c r="H138" s="39"/>
      <c r="I138" s="50"/>
      <c r="J138" s="28"/>
      <c r="K138" s="43"/>
      <c r="L138" s="47" t="str">
        <f t="shared" si="20"/>
        <v/>
      </c>
      <c r="M138" s="43"/>
      <c r="N138" s="44"/>
      <c r="O138" s="67"/>
      <c r="P138" s="70"/>
      <c r="Q138" s="71"/>
      <c r="R138" s="71"/>
      <c r="S138" s="72"/>
      <c r="T138" s="67"/>
      <c r="U138" s="42" t="str">
        <f t="shared" si="22"/>
        <v/>
      </c>
      <c r="V138" s="42" t="str">
        <f t="shared" si="23"/>
        <v/>
      </c>
      <c r="W138" s="42" t="str">
        <f t="shared" si="24"/>
        <v/>
      </c>
      <c r="X138" s="45" t="str">
        <f t="shared" si="21"/>
        <v/>
      </c>
    </row>
    <row r="139" spans="2:24" s="29" customFormat="1" ht="33" customHeight="1">
      <c r="B139" s="50"/>
      <c r="C139" s="49"/>
      <c r="D139" s="39"/>
      <c r="E139" s="39"/>
      <c r="F139" s="49"/>
      <c r="G139" s="39"/>
      <c r="H139" s="39"/>
      <c r="I139" s="50"/>
      <c r="J139" s="28"/>
      <c r="K139" s="43"/>
      <c r="L139" s="47" t="str">
        <f t="shared" si="20"/>
        <v/>
      </c>
      <c r="M139" s="43"/>
      <c r="N139" s="44"/>
      <c r="O139" s="67"/>
      <c r="P139" s="70"/>
      <c r="Q139" s="71"/>
      <c r="R139" s="71"/>
      <c r="S139" s="72"/>
      <c r="T139" s="67"/>
      <c r="U139" s="42" t="str">
        <f t="shared" si="22"/>
        <v/>
      </c>
      <c r="V139" s="42" t="str">
        <f t="shared" si="23"/>
        <v/>
      </c>
      <c r="W139" s="42" t="str">
        <f t="shared" si="24"/>
        <v/>
      </c>
      <c r="X139" s="45" t="str">
        <f t="shared" si="21"/>
        <v/>
      </c>
    </row>
    <row r="140" spans="2:24" s="29" customFormat="1" ht="33" customHeight="1">
      <c r="B140" s="50"/>
      <c r="C140" s="49"/>
      <c r="D140" s="39"/>
      <c r="E140" s="39"/>
      <c r="F140" s="49"/>
      <c r="G140" s="39"/>
      <c r="H140" s="39"/>
      <c r="I140" s="50"/>
      <c r="J140" s="28"/>
      <c r="K140" s="43"/>
      <c r="L140" s="47" t="str">
        <f t="shared" si="20"/>
        <v/>
      </c>
      <c r="M140" s="43"/>
      <c r="N140" s="44"/>
      <c r="O140" s="67"/>
      <c r="P140" s="70"/>
      <c r="Q140" s="71"/>
      <c r="R140" s="71"/>
      <c r="S140" s="72"/>
      <c r="T140" s="67"/>
      <c r="U140" s="42" t="str">
        <f t="shared" si="22"/>
        <v/>
      </c>
      <c r="V140" s="42" t="str">
        <f t="shared" si="23"/>
        <v/>
      </c>
      <c r="W140" s="42" t="str">
        <f t="shared" si="24"/>
        <v/>
      </c>
      <c r="X140" s="45" t="str">
        <f t="shared" si="21"/>
        <v/>
      </c>
    </row>
    <row r="141" spans="2:24" s="29" customFormat="1" ht="33" customHeight="1">
      <c r="B141" s="50"/>
      <c r="C141" s="49"/>
      <c r="D141" s="39"/>
      <c r="E141" s="39"/>
      <c r="F141" s="49"/>
      <c r="G141" s="39"/>
      <c r="H141" s="39"/>
      <c r="I141" s="50"/>
      <c r="J141" s="28"/>
      <c r="K141" s="43"/>
      <c r="L141" s="47" t="str">
        <f t="shared" si="20"/>
        <v/>
      </c>
      <c r="M141" s="43"/>
      <c r="N141" s="44"/>
      <c r="O141" s="67"/>
      <c r="P141" s="70"/>
      <c r="Q141" s="71"/>
      <c r="R141" s="71"/>
      <c r="S141" s="72"/>
      <c r="T141" s="67"/>
      <c r="U141" s="42" t="str">
        <f t="shared" si="22"/>
        <v/>
      </c>
      <c r="V141" s="42" t="str">
        <f t="shared" si="23"/>
        <v/>
      </c>
      <c r="W141" s="42" t="str">
        <f t="shared" si="24"/>
        <v/>
      </c>
      <c r="X141" s="45" t="str">
        <f t="shared" si="21"/>
        <v/>
      </c>
    </row>
    <row r="142" spans="2:24" s="29" customFormat="1" ht="33" customHeight="1">
      <c r="B142" s="50"/>
      <c r="C142" s="49"/>
      <c r="D142" s="39"/>
      <c r="E142" s="39"/>
      <c r="F142" s="49"/>
      <c r="G142" s="39"/>
      <c r="H142" s="39"/>
      <c r="I142" s="50"/>
      <c r="J142" s="28"/>
      <c r="K142" s="43"/>
      <c r="L142" s="47" t="str">
        <f t="shared" si="20"/>
        <v/>
      </c>
      <c r="M142" s="43"/>
      <c r="N142" s="44"/>
      <c r="O142" s="67"/>
      <c r="P142" s="70"/>
      <c r="Q142" s="71"/>
      <c r="R142" s="71"/>
      <c r="S142" s="72"/>
      <c r="T142" s="67"/>
      <c r="U142" s="42" t="str">
        <f t="shared" si="22"/>
        <v/>
      </c>
      <c r="V142" s="42" t="str">
        <f t="shared" si="23"/>
        <v/>
      </c>
      <c r="W142" s="42" t="str">
        <f t="shared" si="24"/>
        <v/>
      </c>
      <c r="X142" s="45" t="str">
        <f t="shared" si="21"/>
        <v/>
      </c>
    </row>
    <row r="143" spans="2:24" s="29" customFormat="1" ht="33" customHeight="1">
      <c r="B143" s="50"/>
      <c r="C143" s="49"/>
      <c r="D143" s="39"/>
      <c r="E143" s="39"/>
      <c r="F143" s="49"/>
      <c r="G143" s="39"/>
      <c r="H143" s="39"/>
      <c r="I143" s="50"/>
      <c r="J143" s="28"/>
      <c r="K143" s="43"/>
      <c r="L143" s="47" t="str">
        <f t="shared" si="20"/>
        <v/>
      </c>
      <c r="M143" s="43"/>
      <c r="N143" s="44"/>
      <c r="O143" s="67"/>
      <c r="P143" s="70"/>
      <c r="Q143" s="71"/>
      <c r="R143" s="71"/>
      <c r="S143" s="72"/>
      <c r="T143" s="67"/>
      <c r="U143" s="42" t="str">
        <f t="shared" si="22"/>
        <v/>
      </c>
      <c r="V143" s="42" t="str">
        <f t="shared" si="23"/>
        <v/>
      </c>
      <c r="W143" s="42" t="str">
        <f t="shared" si="24"/>
        <v/>
      </c>
      <c r="X143" s="45" t="str">
        <f t="shared" si="21"/>
        <v/>
      </c>
    </row>
    <row r="144" spans="2:24" s="29" customFormat="1" ht="33" customHeight="1">
      <c r="B144" s="50"/>
      <c r="C144" s="49"/>
      <c r="D144" s="39"/>
      <c r="E144" s="39"/>
      <c r="F144" s="49"/>
      <c r="G144" s="39"/>
      <c r="H144" s="39"/>
      <c r="I144" s="50"/>
      <c r="J144" s="28"/>
      <c r="K144" s="43"/>
      <c r="L144" s="47" t="str">
        <f t="shared" si="20"/>
        <v/>
      </c>
      <c r="M144" s="43"/>
      <c r="N144" s="44"/>
      <c r="O144" s="67"/>
      <c r="P144" s="70"/>
      <c r="Q144" s="71"/>
      <c r="R144" s="71"/>
      <c r="S144" s="72"/>
      <c r="T144" s="67"/>
      <c r="U144" s="42" t="str">
        <f t="shared" si="22"/>
        <v/>
      </c>
      <c r="V144" s="42" t="str">
        <f t="shared" si="23"/>
        <v/>
      </c>
      <c r="W144" s="42" t="str">
        <f t="shared" si="24"/>
        <v/>
      </c>
      <c r="X144" s="45" t="str">
        <f t="shared" si="21"/>
        <v/>
      </c>
    </row>
    <row r="145" spans="2:24" s="29" customFormat="1" ht="33" customHeight="1">
      <c r="B145" s="50"/>
      <c r="C145" s="49"/>
      <c r="D145" s="39"/>
      <c r="E145" s="39"/>
      <c r="F145" s="49"/>
      <c r="G145" s="39"/>
      <c r="H145" s="39"/>
      <c r="I145" s="50"/>
      <c r="J145" s="28"/>
      <c r="K145" s="43"/>
      <c r="L145" s="47" t="str">
        <f t="shared" si="20"/>
        <v/>
      </c>
      <c r="M145" s="43"/>
      <c r="N145" s="44"/>
      <c r="O145" s="67"/>
      <c r="P145" s="70"/>
      <c r="Q145" s="71"/>
      <c r="R145" s="71"/>
      <c r="S145" s="72"/>
      <c r="T145" s="67"/>
      <c r="U145" s="42" t="str">
        <f t="shared" si="22"/>
        <v/>
      </c>
      <c r="V145" s="42" t="str">
        <f t="shared" si="23"/>
        <v/>
      </c>
      <c r="W145" s="42" t="str">
        <f t="shared" si="24"/>
        <v/>
      </c>
      <c r="X145" s="45" t="str">
        <f t="shared" si="21"/>
        <v/>
      </c>
    </row>
    <row r="146" spans="2:24" s="29" customFormat="1" ht="33" customHeight="1">
      <c r="B146" s="50"/>
      <c r="C146" s="49"/>
      <c r="D146" s="39"/>
      <c r="E146" s="39"/>
      <c r="F146" s="49"/>
      <c r="G146" s="39"/>
      <c r="H146" s="39"/>
      <c r="I146" s="50"/>
      <c r="J146" s="28"/>
      <c r="K146" s="43"/>
      <c r="L146" s="47" t="str">
        <f t="shared" si="20"/>
        <v/>
      </c>
      <c r="M146" s="43"/>
      <c r="N146" s="44"/>
      <c r="O146" s="67"/>
      <c r="P146" s="70"/>
      <c r="Q146" s="71"/>
      <c r="R146" s="71"/>
      <c r="S146" s="72"/>
      <c r="T146" s="67"/>
      <c r="U146" s="42" t="str">
        <f t="shared" si="22"/>
        <v/>
      </c>
      <c r="V146" s="42" t="str">
        <f t="shared" si="23"/>
        <v/>
      </c>
      <c r="W146" s="42" t="str">
        <f t="shared" si="24"/>
        <v/>
      </c>
      <c r="X146" s="45" t="str">
        <f t="shared" si="21"/>
        <v/>
      </c>
    </row>
    <row r="147" spans="2:24" s="29" customFormat="1" ht="33" customHeight="1">
      <c r="B147" s="50"/>
      <c r="C147" s="49"/>
      <c r="D147" s="39"/>
      <c r="E147" s="39"/>
      <c r="F147" s="49"/>
      <c r="G147" s="39"/>
      <c r="H147" s="39"/>
      <c r="I147" s="50"/>
      <c r="J147" s="28"/>
      <c r="K147" s="43"/>
      <c r="L147" s="47" t="str">
        <f t="shared" si="20"/>
        <v/>
      </c>
      <c r="M147" s="43"/>
      <c r="N147" s="44"/>
      <c r="O147" s="67"/>
      <c r="P147" s="70"/>
      <c r="Q147" s="71"/>
      <c r="R147" s="71"/>
      <c r="S147" s="72"/>
      <c r="T147" s="67"/>
      <c r="U147" s="42" t="str">
        <f t="shared" si="22"/>
        <v/>
      </c>
      <c r="V147" s="42" t="str">
        <f t="shared" si="23"/>
        <v/>
      </c>
      <c r="W147" s="42" t="str">
        <f t="shared" si="24"/>
        <v/>
      </c>
      <c r="X147" s="45" t="str">
        <f t="shared" si="21"/>
        <v/>
      </c>
    </row>
    <row r="148" spans="2:24" s="29" customFormat="1" ht="33" customHeight="1">
      <c r="B148" s="50"/>
      <c r="C148" s="49"/>
      <c r="D148" s="39"/>
      <c r="E148" s="39"/>
      <c r="F148" s="49"/>
      <c r="G148" s="39"/>
      <c r="H148" s="39"/>
      <c r="I148" s="50"/>
      <c r="J148" s="28"/>
      <c r="K148" s="43"/>
      <c r="L148" s="47" t="str">
        <f t="shared" si="20"/>
        <v/>
      </c>
      <c r="M148" s="43"/>
      <c r="N148" s="44"/>
      <c r="O148" s="67"/>
      <c r="P148" s="70"/>
      <c r="Q148" s="71"/>
      <c r="R148" s="71"/>
      <c r="S148" s="72"/>
      <c r="T148" s="67"/>
      <c r="U148" s="42" t="str">
        <f t="shared" si="22"/>
        <v/>
      </c>
      <c r="V148" s="42" t="str">
        <f t="shared" si="23"/>
        <v/>
      </c>
      <c r="W148" s="42" t="str">
        <f t="shared" si="24"/>
        <v/>
      </c>
      <c r="X148" s="45" t="str">
        <f t="shared" si="21"/>
        <v/>
      </c>
    </row>
    <row r="149" spans="2:24" s="29" customFormat="1" ht="33" customHeight="1">
      <c r="B149" s="50"/>
      <c r="C149" s="49"/>
      <c r="D149" s="39"/>
      <c r="E149" s="39"/>
      <c r="F149" s="49"/>
      <c r="G149" s="39"/>
      <c r="H149" s="39"/>
      <c r="I149" s="50"/>
      <c r="J149" s="28"/>
      <c r="K149" s="43"/>
      <c r="L149" s="47" t="str">
        <f t="shared" si="20"/>
        <v/>
      </c>
      <c r="M149" s="43"/>
      <c r="N149" s="44"/>
      <c r="O149" s="67"/>
      <c r="P149" s="70"/>
      <c r="Q149" s="71"/>
      <c r="R149" s="71"/>
      <c r="S149" s="72"/>
      <c r="T149" s="67"/>
      <c r="U149" s="42" t="str">
        <f t="shared" si="22"/>
        <v/>
      </c>
      <c r="V149" s="42" t="str">
        <f t="shared" si="23"/>
        <v/>
      </c>
      <c r="W149" s="42" t="str">
        <f t="shared" si="24"/>
        <v/>
      </c>
      <c r="X149" s="45" t="str">
        <f t="shared" si="21"/>
        <v/>
      </c>
    </row>
    <row r="150" spans="2:24" s="29" customFormat="1" ht="33" customHeight="1">
      <c r="B150" s="50"/>
      <c r="C150" s="49"/>
      <c r="D150" s="39"/>
      <c r="E150" s="39"/>
      <c r="F150" s="49"/>
      <c r="G150" s="39"/>
      <c r="H150" s="39"/>
      <c r="I150" s="50"/>
      <c r="J150" s="28"/>
      <c r="K150" s="43"/>
      <c r="L150" s="47" t="str">
        <f t="shared" ref="L150:L181" si="25">IF(AND(K150="",O150=""),"",IF(K150=0,"NO APLICA",IF(O150&gt;0,"SI","NO")))</f>
        <v/>
      </c>
      <c r="M150" s="43"/>
      <c r="N150" s="44"/>
      <c r="O150" s="67"/>
      <c r="P150" s="70"/>
      <c r="Q150" s="71"/>
      <c r="R150" s="71"/>
      <c r="S150" s="72"/>
      <c r="T150" s="67"/>
      <c r="U150" s="42" t="str">
        <f t="shared" si="22"/>
        <v/>
      </c>
      <c r="V150" s="42" t="str">
        <f t="shared" si="23"/>
        <v/>
      </c>
      <c r="W150" s="42" t="str">
        <f t="shared" si="24"/>
        <v/>
      </c>
      <c r="X150" s="45" t="str">
        <f t="shared" si="21"/>
        <v/>
      </c>
    </row>
    <row r="151" spans="2:24" s="29" customFormat="1" ht="33" customHeight="1">
      <c r="B151" s="50"/>
      <c r="C151" s="49"/>
      <c r="D151" s="39"/>
      <c r="E151" s="39"/>
      <c r="F151" s="49"/>
      <c r="G151" s="39"/>
      <c r="H151" s="39"/>
      <c r="I151" s="50"/>
      <c r="J151" s="28"/>
      <c r="K151" s="43"/>
      <c r="L151" s="47" t="str">
        <f t="shared" si="25"/>
        <v/>
      </c>
      <c r="M151" s="43"/>
      <c r="N151" s="44"/>
      <c r="O151" s="67"/>
      <c r="P151" s="70"/>
      <c r="Q151" s="71"/>
      <c r="R151" s="71"/>
      <c r="S151" s="72"/>
      <c r="T151" s="67"/>
      <c r="U151" s="42" t="str">
        <f t="shared" si="22"/>
        <v/>
      </c>
      <c r="V151" s="42" t="str">
        <f t="shared" si="23"/>
        <v/>
      </c>
      <c r="W151" s="42" t="str">
        <f t="shared" si="24"/>
        <v/>
      </c>
      <c r="X151" s="45" t="str">
        <f t="shared" si="21"/>
        <v/>
      </c>
    </row>
    <row r="152" spans="2:24" s="29" customFormat="1" ht="33" customHeight="1">
      <c r="B152" s="50"/>
      <c r="C152" s="49"/>
      <c r="D152" s="39"/>
      <c r="E152" s="39"/>
      <c r="F152" s="49"/>
      <c r="G152" s="39"/>
      <c r="H152" s="39"/>
      <c r="I152" s="50"/>
      <c r="J152" s="28"/>
      <c r="K152" s="43"/>
      <c r="L152" s="47" t="str">
        <f t="shared" si="25"/>
        <v/>
      </c>
      <c r="M152" s="43"/>
      <c r="N152" s="44"/>
      <c r="O152" s="67"/>
      <c r="P152" s="70"/>
      <c r="Q152" s="71"/>
      <c r="R152" s="71"/>
      <c r="S152" s="72"/>
      <c r="T152" s="67"/>
      <c r="U152" s="42" t="str">
        <f t="shared" si="22"/>
        <v/>
      </c>
      <c r="V152" s="42" t="str">
        <f t="shared" si="23"/>
        <v/>
      </c>
      <c r="W152" s="42" t="str">
        <f t="shared" si="24"/>
        <v/>
      </c>
      <c r="X152" s="45" t="str">
        <f t="shared" si="21"/>
        <v/>
      </c>
    </row>
    <row r="153" spans="2:24" s="29" customFormat="1" ht="33" customHeight="1">
      <c r="B153" s="50"/>
      <c r="C153" s="49"/>
      <c r="D153" s="39"/>
      <c r="E153" s="39"/>
      <c r="F153" s="49"/>
      <c r="G153" s="39"/>
      <c r="H153" s="39"/>
      <c r="I153" s="50"/>
      <c r="J153" s="28"/>
      <c r="K153" s="43"/>
      <c r="L153" s="47" t="str">
        <f t="shared" si="25"/>
        <v/>
      </c>
      <c r="M153" s="43"/>
      <c r="N153" s="44"/>
      <c r="O153" s="67"/>
      <c r="P153" s="70"/>
      <c r="Q153" s="71"/>
      <c r="R153" s="71"/>
      <c r="S153" s="72"/>
      <c r="T153" s="67"/>
      <c r="U153" s="42" t="str">
        <f t="shared" si="22"/>
        <v/>
      </c>
      <c r="V153" s="42" t="str">
        <f t="shared" si="23"/>
        <v/>
      </c>
      <c r="W153" s="42" t="str">
        <f t="shared" si="24"/>
        <v/>
      </c>
      <c r="X153" s="45" t="str">
        <f t="shared" si="21"/>
        <v/>
      </c>
    </row>
    <row r="154" spans="2:24" s="29" customFormat="1" ht="33" customHeight="1">
      <c r="B154" s="50"/>
      <c r="C154" s="49"/>
      <c r="D154" s="39"/>
      <c r="E154" s="39"/>
      <c r="F154" s="49"/>
      <c r="G154" s="39"/>
      <c r="H154" s="39"/>
      <c r="I154" s="50"/>
      <c r="J154" s="28"/>
      <c r="K154" s="43"/>
      <c r="L154" s="47" t="str">
        <f t="shared" si="25"/>
        <v/>
      </c>
      <c r="M154" s="43"/>
      <c r="N154" s="44"/>
      <c r="O154" s="67"/>
      <c r="P154" s="70"/>
      <c r="Q154" s="71"/>
      <c r="R154" s="71"/>
      <c r="S154" s="72"/>
      <c r="T154" s="67"/>
      <c r="U154" s="42" t="str">
        <f t="shared" si="22"/>
        <v/>
      </c>
      <c r="V154" s="42" t="str">
        <f t="shared" si="23"/>
        <v/>
      </c>
      <c r="W154" s="42" t="str">
        <f t="shared" si="24"/>
        <v/>
      </c>
      <c r="X154" s="45" t="str">
        <f t="shared" si="21"/>
        <v/>
      </c>
    </row>
    <row r="155" spans="2:24" s="29" customFormat="1" ht="33" customHeight="1">
      <c r="B155" s="50"/>
      <c r="C155" s="49"/>
      <c r="D155" s="39"/>
      <c r="E155" s="39"/>
      <c r="F155" s="49"/>
      <c r="G155" s="39"/>
      <c r="H155" s="39"/>
      <c r="I155" s="50"/>
      <c r="J155" s="28"/>
      <c r="K155" s="43"/>
      <c r="L155" s="47" t="str">
        <f t="shared" si="25"/>
        <v/>
      </c>
      <c r="M155" s="43"/>
      <c r="N155" s="44"/>
      <c r="O155" s="67"/>
      <c r="P155" s="70"/>
      <c r="Q155" s="71"/>
      <c r="R155" s="71"/>
      <c r="S155" s="72"/>
      <c r="T155" s="67"/>
      <c r="U155" s="42" t="str">
        <f t="shared" si="22"/>
        <v/>
      </c>
      <c r="V155" s="42" t="str">
        <f t="shared" si="23"/>
        <v/>
      </c>
      <c r="W155" s="42" t="str">
        <f t="shared" si="24"/>
        <v/>
      </c>
      <c r="X155" s="45" t="str">
        <f t="shared" si="21"/>
        <v/>
      </c>
    </row>
    <row r="156" spans="2:24" s="29" customFormat="1" ht="33" customHeight="1">
      <c r="B156" s="50"/>
      <c r="C156" s="49"/>
      <c r="D156" s="39"/>
      <c r="E156" s="39"/>
      <c r="F156" s="49"/>
      <c r="G156" s="39"/>
      <c r="H156" s="39"/>
      <c r="I156" s="50"/>
      <c r="J156" s="28"/>
      <c r="K156" s="43"/>
      <c r="L156" s="47" t="str">
        <f t="shared" si="25"/>
        <v/>
      </c>
      <c r="M156" s="43"/>
      <c r="N156" s="44"/>
      <c r="O156" s="67"/>
      <c r="P156" s="70"/>
      <c r="Q156" s="71"/>
      <c r="R156" s="71"/>
      <c r="S156" s="72"/>
      <c r="T156" s="67"/>
      <c r="U156" s="42" t="str">
        <f t="shared" si="22"/>
        <v/>
      </c>
      <c r="V156" s="42" t="str">
        <f t="shared" si="23"/>
        <v/>
      </c>
      <c r="W156" s="42" t="str">
        <f t="shared" si="24"/>
        <v/>
      </c>
      <c r="X156" s="45" t="str">
        <f t="shared" si="21"/>
        <v/>
      </c>
    </row>
    <row r="157" spans="2:24" s="29" customFormat="1" ht="33" customHeight="1">
      <c r="B157" s="50"/>
      <c r="C157" s="49"/>
      <c r="D157" s="39"/>
      <c r="E157" s="39"/>
      <c r="F157" s="49"/>
      <c r="G157" s="39"/>
      <c r="H157" s="39"/>
      <c r="I157" s="50"/>
      <c r="J157" s="28"/>
      <c r="K157" s="43"/>
      <c r="L157" s="47" t="str">
        <f t="shared" si="25"/>
        <v/>
      </c>
      <c r="M157" s="43"/>
      <c r="N157" s="44"/>
      <c r="O157" s="67"/>
      <c r="P157" s="70"/>
      <c r="Q157" s="71"/>
      <c r="R157" s="71"/>
      <c r="S157" s="72"/>
      <c r="T157" s="67"/>
      <c r="U157" s="42" t="str">
        <f t="shared" si="22"/>
        <v/>
      </c>
      <c r="V157" s="42" t="str">
        <f t="shared" si="23"/>
        <v/>
      </c>
      <c r="W157" s="42" t="str">
        <f t="shared" si="24"/>
        <v/>
      </c>
      <c r="X157" s="45" t="str">
        <f t="shared" si="21"/>
        <v/>
      </c>
    </row>
    <row r="158" spans="2:24" s="29" customFormat="1" ht="33" customHeight="1">
      <c r="B158" s="50"/>
      <c r="C158" s="49"/>
      <c r="D158" s="39"/>
      <c r="E158" s="39"/>
      <c r="F158" s="49"/>
      <c r="G158" s="39"/>
      <c r="H158" s="39"/>
      <c r="I158" s="50"/>
      <c r="J158" s="28"/>
      <c r="K158" s="43"/>
      <c r="L158" s="47" t="str">
        <f t="shared" si="25"/>
        <v/>
      </c>
      <c r="M158" s="43"/>
      <c r="N158" s="44"/>
      <c r="O158" s="67"/>
      <c r="P158" s="70"/>
      <c r="Q158" s="71"/>
      <c r="R158" s="71"/>
      <c r="S158" s="72"/>
      <c r="T158" s="67"/>
      <c r="U158" s="42" t="str">
        <f t="shared" si="22"/>
        <v/>
      </c>
      <c r="V158" s="42" t="str">
        <f t="shared" si="23"/>
        <v/>
      </c>
      <c r="W158" s="42" t="str">
        <f t="shared" si="24"/>
        <v/>
      </c>
      <c r="X158" s="45" t="str">
        <f t="shared" si="21"/>
        <v/>
      </c>
    </row>
    <row r="159" spans="2:24" s="29" customFormat="1" ht="33" customHeight="1">
      <c r="B159" s="50"/>
      <c r="C159" s="49"/>
      <c r="D159" s="39"/>
      <c r="E159" s="39"/>
      <c r="F159" s="49"/>
      <c r="G159" s="39"/>
      <c r="H159" s="39"/>
      <c r="I159" s="50"/>
      <c r="J159" s="28"/>
      <c r="K159" s="43"/>
      <c r="L159" s="47" t="str">
        <f t="shared" si="25"/>
        <v/>
      </c>
      <c r="M159" s="43"/>
      <c r="N159" s="44"/>
      <c r="O159" s="67"/>
      <c r="P159" s="70"/>
      <c r="Q159" s="71"/>
      <c r="R159" s="71"/>
      <c r="S159" s="72"/>
      <c r="T159" s="67"/>
      <c r="U159" s="42" t="str">
        <f t="shared" si="22"/>
        <v/>
      </c>
      <c r="V159" s="42" t="str">
        <f t="shared" si="23"/>
        <v/>
      </c>
      <c r="W159" s="42" t="str">
        <f t="shared" si="24"/>
        <v/>
      </c>
      <c r="X159" s="45" t="str">
        <f t="shared" si="21"/>
        <v/>
      </c>
    </row>
    <row r="160" spans="2:24" s="29" customFormat="1" ht="33" customHeight="1">
      <c r="B160" s="50"/>
      <c r="C160" s="49"/>
      <c r="D160" s="39"/>
      <c r="E160" s="39"/>
      <c r="F160" s="49"/>
      <c r="G160" s="39"/>
      <c r="H160" s="39"/>
      <c r="I160" s="50"/>
      <c r="J160" s="28"/>
      <c r="K160" s="43"/>
      <c r="L160" s="47" t="str">
        <f t="shared" si="25"/>
        <v/>
      </c>
      <c r="M160" s="43"/>
      <c r="N160" s="44"/>
      <c r="O160" s="67"/>
      <c r="P160" s="70"/>
      <c r="Q160" s="71"/>
      <c r="R160" s="71"/>
      <c r="S160" s="72"/>
      <c r="T160" s="67"/>
      <c r="U160" s="42" t="str">
        <f t="shared" si="22"/>
        <v/>
      </c>
      <c r="V160" s="42" t="str">
        <f t="shared" si="23"/>
        <v/>
      </c>
      <c r="W160" s="42" t="str">
        <f t="shared" si="24"/>
        <v/>
      </c>
      <c r="X160" s="45" t="str">
        <f t="shared" si="21"/>
        <v/>
      </c>
    </row>
    <row r="161" spans="2:24" s="29" customFormat="1" ht="33" customHeight="1">
      <c r="B161" s="50"/>
      <c r="C161" s="49"/>
      <c r="D161" s="39"/>
      <c r="E161" s="39"/>
      <c r="F161" s="49"/>
      <c r="G161" s="39"/>
      <c r="H161" s="39"/>
      <c r="I161" s="50"/>
      <c r="J161" s="28"/>
      <c r="K161" s="43"/>
      <c r="L161" s="47" t="str">
        <f t="shared" si="25"/>
        <v/>
      </c>
      <c r="M161" s="43"/>
      <c r="N161" s="44"/>
      <c r="O161" s="67"/>
      <c r="P161" s="70"/>
      <c r="Q161" s="71"/>
      <c r="R161" s="71"/>
      <c r="S161" s="72"/>
      <c r="T161" s="67"/>
      <c r="U161" s="42" t="str">
        <f t="shared" si="22"/>
        <v/>
      </c>
      <c r="V161" s="42" t="str">
        <f t="shared" si="23"/>
        <v/>
      </c>
      <c r="W161" s="42" t="str">
        <f t="shared" si="24"/>
        <v/>
      </c>
      <c r="X161" s="45" t="str">
        <f t="shared" si="21"/>
        <v/>
      </c>
    </row>
    <row r="162" spans="2:24" s="29" customFormat="1" ht="33" customHeight="1">
      <c r="B162" s="50"/>
      <c r="C162" s="49"/>
      <c r="D162" s="39"/>
      <c r="E162" s="39"/>
      <c r="F162" s="49"/>
      <c r="G162" s="39"/>
      <c r="H162" s="39"/>
      <c r="I162" s="50"/>
      <c r="J162" s="28"/>
      <c r="K162" s="43"/>
      <c r="L162" s="47" t="str">
        <f t="shared" si="25"/>
        <v/>
      </c>
      <c r="M162" s="43"/>
      <c r="N162" s="44"/>
      <c r="O162" s="67"/>
      <c r="P162" s="70"/>
      <c r="Q162" s="71"/>
      <c r="R162" s="71"/>
      <c r="S162" s="72"/>
      <c r="T162" s="67"/>
      <c r="U162" s="42" t="str">
        <f t="shared" si="22"/>
        <v/>
      </c>
      <c r="V162" s="42" t="str">
        <f t="shared" si="23"/>
        <v/>
      </c>
      <c r="W162" s="42" t="str">
        <f t="shared" si="24"/>
        <v/>
      </c>
      <c r="X162" s="45" t="str">
        <f t="shared" si="21"/>
        <v/>
      </c>
    </row>
    <row r="163" spans="2:24" s="29" customFormat="1" ht="33" customHeight="1">
      <c r="B163" s="50"/>
      <c r="C163" s="49"/>
      <c r="D163" s="39"/>
      <c r="E163" s="39"/>
      <c r="F163" s="49"/>
      <c r="G163" s="39"/>
      <c r="H163" s="39"/>
      <c r="I163" s="50"/>
      <c r="J163" s="28"/>
      <c r="K163" s="43"/>
      <c r="L163" s="47" t="str">
        <f t="shared" si="25"/>
        <v/>
      </c>
      <c r="M163" s="43"/>
      <c r="N163" s="44"/>
      <c r="O163" s="67"/>
      <c r="P163" s="70"/>
      <c r="Q163" s="71"/>
      <c r="R163" s="71"/>
      <c r="S163" s="72"/>
      <c r="T163" s="67"/>
      <c r="U163" s="42" t="str">
        <f t="shared" si="22"/>
        <v/>
      </c>
      <c r="V163" s="42" t="str">
        <f t="shared" si="23"/>
        <v/>
      </c>
      <c r="W163" s="42" t="str">
        <f t="shared" si="24"/>
        <v/>
      </c>
      <c r="X163" s="45" t="str">
        <f t="shared" si="21"/>
        <v/>
      </c>
    </row>
    <row r="164" spans="2:24" s="29" customFormat="1" ht="33" customHeight="1">
      <c r="B164" s="50"/>
      <c r="C164" s="49"/>
      <c r="D164" s="39"/>
      <c r="E164" s="39"/>
      <c r="F164" s="49"/>
      <c r="G164" s="39"/>
      <c r="H164" s="39"/>
      <c r="I164" s="50"/>
      <c r="J164" s="28"/>
      <c r="K164" s="43"/>
      <c r="L164" s="47" t="str">
        <f t="shared" si="25"/>
        <v/>
      </c>
      <c r="M164" s="43"/>
      <c r="N164" s="44"/>
      <c r="O164" s="67"/>
      <c r="P164" s="70"/>
      <c r="Q164" s="71"/>
      <c r="R164" s="71"/>
      <c r="S164" s="72"/>
      <c r="T164" s="67"/>
      <c r="U164" s="42" t="str">
        <f t="shared" si="22"/>
        <v/>
      </c>
      <c r="V164" s="42" t="str">
        <f t="shared" si="23"/>
        <v/>
      </c>
      <c r="W164" s="42" t="str">
        <f t="shared" si="24"/>
        <v/>
      </c>
      <c r="X164" s="45" t="str">
        <f t="shared" si="21"/>
        <v/>
      </c>
    </row>
    <row r="165" spans="2:24" s="29" customFormat="1" ht="33" customHeight="1">
      <c r="B165" s="50"/>
      <c r="C165" s="49"/>
      <c r="D165" s="39"/>
      <c r="E165" s="39"/>
      <c r="F165" s="49"/>
      <c r="G165" s="39"/>
      <c r="H165" s="39"/>
      <c r="I165" s="50"/>
      <c r="J165" s="28"/>
      <c r="K165" s="43"/>
      <c r="L165" s="47" t="str">
        <f t="shared" si="25"/>
        <v/>
      </c>
      <c r="M165" s="43"/>
      <c r="N165" s="44"/>
      <c r="O165" s="67"/>
      <c r="P165" s="70"/>
      <c r="Q165" s="71"/>
      <c r="R165" s="71"/>
      <c r="S165" s="72"/>
      <c r="T165" s="67"/>
      <c r="U165" s="42" t="str">
        <f t="shared" si="22"/>
        <v/>
      </c>
      <c r="V165" s="42" t="str">
        <f t="shared" si="23"/>
        <v/>
      </c>
      <c r="W165" s="42" t="str">
        <f t="shared" si="24"/>
        <v/>
      </c>
      <c r="X165" s="45" t="str">
        <f t="shared" si="21"/>
        <v/>
      </c>
    </row>
    <row r="166" spans="2:24" s="29" customFormat="1" ht="33" customHeight="1">
      <c r="B166" s="50"/>
      <c r="C166" s="49"/>
      <c r="D166" s="39"/>
      <c r="E166" s="39"/>
      <c r="F166" s="49"/>
      <c r="G166" s="39"/>
      <c r="H166" s="39"/>
      <c r="I166" s="50"/>
      <c r="J166" s="28"/>
      <c r="K166" s="43"/>
      <c r="L166" s="47" t="str">
        <f t="shared" si="25"/>
        <v/>
      </c>
      <c r="M166" s="43"/>
      <c r="N166" s="44"/>
      <c r="O166" s="67"/>
      <c r="P166" s="70"/>
      <c r="Q166" s="71"/>
      <c r="R166" s="71"/>
      <c r="S166" s="72"/>
      <c r="T166" s="67"/>
      <c r="U166" s="42" t="str">
        <f t="shared" si="22"/>
        <v/>
      </c>
      <c r="V166" s="42" t="str">
        <f t="shared" si="23"/>
        <v/>
      </c>
      <c r="W166" s="42" t="str">
        <f t="shared" si="24"/>
        <v/>
      </c>
      <c r="X166" s="45" t="str">
        <f t="shared" si="21"/>
        <v/>
      </c>
    </row>
    <row r="167" spans="2:24" s="29" customFormat="1" ht="33" customHeight="1">
      <c r="B167" s="50"/>
      <c r="C167" s="49"/>
      <c r="D167" s="39"/>
      <c r="E167" s="39"/>
      <c r="F167" s="49"/>
      <c r="G167" s="39"/>
      <c r="H167" s="39"/>
      <c r="I167" s="50"/>
      <c r="J167" s="28"/>
      <c r="K167" s="43"/>
      <c r="L167" s="47" t="str">
        <f t="shared" si="25"/>
        <v/>
      </c>
      <c r="M167" s="43"/>
      <c r="N167" s="44"/>
      <c r="O167" s="67"/>
      <c r="P167" s="70"/>
      <c r="Q167" s="71"/>
      <c r="R167" s="71"/>
      <c r="S167" s="72"/>
      <c r="T167" s="67"/>
      <c r="U167" s="42" t="str">
        <f t="shared" si="22"/>
        <v/>
      </c>
      <c r="V167" s="42" t="str">
        <f t="shared" si="23"/>
        <v/>
      </c>
      <c r="W167" s="42" t="str">
        <f t="shared" si="24"/>
        <v/>
      </c>
      <c r="X167" s="45" t="str">
        <f t="shared" si="21"/>
        <v/>
      </c>
    </row>
    <row r="168" spans="2:24" s="29" customFormat="1" ht="33" customHeight="1">
      <c r="B168" s="50"/>
      <c r="C168" s="49"/>
      <c r="D168" s="39"/>
      <c r="E168" s="39"/>
      <c r="F168" s="49"/>
      <c r="G168" s="39"/>
      <c r="H168" s="39"/>
      <c r="I168" s="50"/>
      <c r="J168" s="28"/>
      <c r="K168" s="43"/>
      <c r="L168" s="47" t="str">
        <f t="shared" si="25"/>
        <v/>
      </c>
      <c r="M168" s="43"/>
      <c r="N168" s="44"/>
      <c r="O168" s="67"/>
      <c r="P168" s="70"/>
      <c r="Q168" s="71"/>
      <c r="R168" s="71"/>
      <c r="S168" s="72"/>
      <c r="T168" s="67"/>
      <c r="U168" s="42" t="str">
        <f t="shared" si="22"/>
        <v/>
      </c>
      <c r="V168" s="42" t="str">
        <f t="shared" si="23"/>
        <v/>
      </c>
      <c r="W168" s="42" t="str">
        <f t="shared" si="24"/>
        <v/>
      </c>
      <c r="X168" s="45" t="str">
        <f t="shared" si="21"/>
        <v/>
      </c>
    </row>
    <row r="169" spans="2:24" s="29" customFormat="1" ht="33" customHeight="1">
      <c r="B169" s="50"/>
      <c r="C169" s="49"/>
      <c r="D169" s="39"/>
      <c r="E169" s="39"/>
      <c r="F169" s="49"/>
      <c r="G169" s="39"/>
      <c r="H169" s="39"/>
      <c r="I169" s="50"/>
      <c r="J169" s="28"/>
      <c r="K169" s="43"/>
      <c r="L169" s="47" t="str">
        <f t="shared" si="25"/>
        <v/>
      </c>
      <c r="M169" s="43"/>
      <c r="N169" s="44"/>
      <c r="O169" s="67"/>
      <c r="P169" s="70"/>
      <c r="Q169" s="71"/>
      <c r="R169" s="71"/>
      <c r="S169" s="72"/>
      <c r="T169" s="67"/>
      <c r="U169" s="42" t="str">
        <f t="shared" si="22"/>
        <v/>
      </c>
      <c r="V169" s="42" t="str">
        <f t="shared" si="23"/>
        <v/>
      </c>
      <c r="W169" s="42" t="str">
        <f t="shared" si="24"/>
        <v/>
      </c>
      <c r="X169" s="45" t="str">
        <f t="shared" si="21"/>
        <v/>
      </c>
    </row>
    <row r="170" spans="2:24" s="29" customFormat="1" ht="33" customHeight="1">
      <c r="B170" s="50"/>
      <c r="C170" s="49"/>
      <c r="D170" s="39"/>
      <c r="E170" s="39"/>
      <c r="F170" s="49"/>
      <c r="G170" s="39"/>
      <c r="H170" s="39"/>
      <c r="I170" s="50"/>
      <c r="J170" s="28"/>
      <c r="K170" s="43"/>
      <c r="L170" s="47" t="str">
        <f t="shared" si="25"/>
        <v/>
      </c>
      <c r="M170" s="43"/>
      <c r="N170" s="44"/>
      <c r="O170" s="67"/>
      <c r="P170" s="70"/>
      <c r="Q170" s="71"/>
      <c r="R170" s="71"/>
      <c r="S170" s="72"/>
      <c r="T170" s="67"/>
      <c r="U170" s="42" t="str">
        <f t="shared" si="22"/>
        <v/>
      </c>
      <c r="V170" s="42" t="str">
        <f t="shared" si="23"/>
        <v/>
      </c>
      <c r="W170" s="42" t="str">
        <f t="shared" si="24"/>
        <v/>
      </c>
      <c r="X170" s="45" t="str">
        <f t="shared" si="21"/>
        <v/>
      </c>
    </row>
    <row r="171" spans="2:24" s="29" customFormat="1" ht="33" customHeight="1">
      <c r="B171" s="50"/>
      <c r="C171" s="49"/>
      <c r="D171" s="39"/>
      <c r="E171" s="39"/>
      <c r="F171" s="49"/>
      <c r="G171" s="39"/>
      <c r="H171" s="39"/>
      <c r="I171" s="50"/>
      <c r="J171" s="28"/>
      <c r="K171" s="43"/>
      <c r="L171" s="47" t="str">
        <f t="shared" si="25"/>
        <v/>
      </c>
      <c r="M171" s="43"/>
      <c r="N171" s="44"/>
      <c r="O171" s="67"/>
      <c r="P171" s="70"/>
      <c r="Q171" s="71"/>
      <c r="R171" s="71"/>
      <c r="S171" s="72"/>
      <c r="T171" s="67"/>
      <c r="U171" s="42" t="str">
        <f t="shared" si="22"/>
        <v/>
      </c>
      <c r="V171" s="42" t="str">
        <f t="shared" si="23"/>
        <v/>
      </c>
      <c r="W171" s="42" t="str">
        <f t="shared" si="24"/>
        <v/>
      </c>
      <c r="X171" s="45" t="str">
        <f t="shared" si="21"/>
        <v/>
      </c>
    </row>
    <row r="172" spans="2:24" s="29" customFormat="1" ht="33" customHeight="1">
      <c r="B172" s="50"/>
      <c r="C172" s="49"/>
      <c r="D172" s="39"/>
      <c r="E172" s="39"/>
      <c r="F172" s="49"/>
      <c r="G172" s="39"/>
      <c r="H172" s="39"/>
      <c r="I172" s="50"/>
      <c r="J172" s="28"/>
      <c r="K172" s="43"/>
      <c r="L172" s="47" t="str">
        <f t="shared" si="25"/>
        <v/>
      </c>
      <c r="M172" s="43"/>
      <c r="N172" s="44"/>
      <c r="O172" s="67"/>
      <c r="P172" s="70"/>
      <c r="Q172" s="71"/>
      <c r="R172" s="71"/>
      <c r="S172" s="72"/>
      <c r="T172" s="67"/>
      <c r="U172" s="42" t="str">
        <f t="shared" si="22"/>
        <v/>
      </c>
      <c r="V172" s="42" t="str">
        <f t="shared" si="23"/>
        <v/>
      </c>
      <c r="W172" s="42" t="str">
        <f t="shared" si="24"/>
        <v/>
      </c>
      <c r="X172" s="45" t="str">
        <f t="shared" si="21"/>
        <v/>
      </c>
    </row>
    <row r="173" spans="2:24" s="29" customFormat="1" ht="33" customHeight="1">
      <c r="B173" s="50"/>
      <c r="C173" s="49"/>
      <c r="D173" s="39"/>
      <c r="E173" s="39"/>
      <c r="F173" s="49"/>
      <c r="G173" s="39"/>
      <c r="H173" s="39"/>
      <c r="I173" s="50"/>
      <c r="J173" s="28"/>
      <c r="K173" s="43"/>
      <c r="L173" s="47" t="str">
        <f t="shared" si="25"/>
        <v/>
      </c>
      <c r="M173" s="43"/>
      <c r="N173" s="44"/>
      <c r="O173" s="67"/>
      <c r="P173" s="70"/>
      <c r="Q173" s="71"/>
      <c r="R173" s="71"/>
      <c r="S173" s="72"/>
      <c r="T173" s="67"/>
      <c r="U173" s="42" t="str">
        <f t="shared" si="22"/>
        <v/>
      </c>
      <c r="V173" s="42" t="str">
        <f t="shared" si="23"/>
        <v/>
      </c>
      <c r="W173" s="42" t="str">
        <f t="shared" si="24"/>
        <v/>
      </c>
      <c r="X173" s="45" t="str">
        <f t="shared" si="21"/>
        <v/>
      </c>
    </row>
    <row r="174" spans="2:24" s="29" customFormat="1" ht="33" customHeight="1">
      <c r="B174" s="50"/>
      <c r="C174" s="49"/>
      <c r="D174" s="39"/>
      <c r="E174" s="39"/>
      <c r="F174" s="49"/>
      <c r="G174" s="39"/>
      <c r="H174" s="39"/>
      <c r="I174" s="50"/>
      <c r="J174" s="28"/>
      <c r="K174" s="43"/>
      <c r="L174" s="47" t="str">
        <f t="shared" si="25"/>
        <v/>
      </c>
      <c r="M174" s="43"/>
      <c r="N174" s="44"/>
      <c r="O174" s="67"/>
      <c r="P174" s="70"/>
      <c r="Q174" s="71"/>
      <c r="R174" s="71"/>
      <c r="S174" s="72"/>
      <c r="T174" s="67"/>
      <c r="U174" s="42" t="str">
        <f t="shared" si="22"/>
        <v/>
      </c>
      <c r="V174" s="42" t="str">
        <f t="shared" si="23"/>
        <v/>
      </c>
      <c r="W174" s="42" t="str">
        <f t="shared" si="24"/>
        <v/>
      </c>
      <c r="X174" s="45" t="str">
        <f t="shared" si="21"/>
        <v/>
      </c>
    </row>
    <row r="175" spans="2:24" s="29" customFormat="1" ht="33" customHeight="1">
      <c r="B175" s="50"/>
      <c r="C175" s="49"/>
      <c r="D175" s="39"/>
      <c r="E175" s="39"/>
      <c r="F175" s="49"/>
      <c r="G175" s="39"/>
      <c r="H175" s="39"/>
      <c r="I175" s="50"/>
      <c r="J175" s="28"/>
      <c r="K175" s="43"/>
      <c r="L175" s="47" t="str">
        <f t="shared" si="25"/>
        <v/>
      </c>
      <c r="M175" s="43"/>
      <c r="N175" s="44"/>
      <c r="O175" s="67"/>
      <c r="P175" s="70"/>
      <c r="Q175" s="71"/>
      <c r="R175" s="71"/>
      <c r="S175" s="72"/>
      <c r="T175" s="67"/>
      <c r="U175" s="42" t="str">
        <f t="shared" si="22"/>
        <v/>
      </c>
      <c r="V175" s="42" t="str">
        <f t="shared" si="23"/>
        <v/>
      </c>
      <c r="W175" s="42" t="str">
        <f t="shared" si="24"/>
        <v/>
      </c>
      <c r="X175" s="45" t="str">
        <f t="shared" si="21"/>
        <v/>
      </c>
    </row>
    <row r="176" spans="2:24" s="29" customFormat="1" ht="33" customHeight="1">
      <c r="B176" s="50"/>
      <c r="C176" s="49"/>
      <c r="D176" s="39"/>
      <c r="E176" s="39"/>
      <c r="F176" s="49"/>
      <c r="G176" s="39"/>
      <c r="H176" s="39"/>
      <c r="I176" s="50"/>
      <c r="J176" s="28"/>
      <c r="K176" s="43"/>
      <c r="L176" s="47" t="str">
        <f t="shared" si="25"/>
        <v/>
      </c>
      <c r="M176" s="43"/>
      <c r="N176" s="44"/>
      <c r="O176" s="67"/>
      <c r="P176" s="70"/>
      <c r="Q176" s="71"/>
      <c r="R176" s="71"/>
      <c r="S176" s="72"/>
      <c r="T176" s="67"/>
      <c r="U176" s="42" t="str">
        <f t="shared" si="22"/>
        <v/>
      </c>
      <c r="V176" s="42" t="str">
        <f t="shared" si="23"/>
        <v/>
      </c>
      <c r="W176" s="42" t="str">
        <f t="shared" si="24"/>
        <v/>
      </c>
      <c r="X176" s="45" t="str">
        <f t="shared" si="21"/>
        <v/>
      </c>
    </row>
    <row r="177" spans="2:24" s="29" customFormat="1" ht="33" customHeight="1">
      <c r="B177" s="50"/>
      <c r="C177" s="49"/>
      <c r="D177" s="39"/>
      <c r="E177" s="39"/>
      <c r="F177" s="49"/>
      <c r="G177" s="39"/>
      <c r="H177" s="39"/>
      <c r="I177" s="50"/>
      <c r="J177" s="28"/>
      <c r="K177" s="43"/>
      <c r="L177" s="47" t="str">
        <f t="shared" si="25"/>
        <v/>
      </c>
      <c r="M177" s="43"/>
      <c r="N177" s="44"/>
      <c r="O177" s="67"/>
      <c r="P177" s="70"/>
      <c r="Q177" s="71"/>
      <c r="R177" s="71"/>
      <c r="S177" s="72"/>
      <c r="T177" s="67"/>
      <c r="U177" s="42" t="str">
        <f t="shared" si="22"/>
        <v/>
      </c>
      <c r="V177" s="42" t="str">
        <f t="shared" si="23"/>
        <v/>
      </c>
      <c r="W177" s="42" t="str">
        <f t="shared" si="24"/>
        <v/>
      </c>
      <c r="X177" s="45" t="str">
        <f t="shared" si="21"/>
        <v/>
      </c>
    </row>
    <row r="178" spans="2:24" s="29" customFormat="1" ht="33" customHeight="1">
      <c r="B178" s="50"/>
      <c r="C178" s="49"/>
      <c r="D178" s="39"/>
      <c r="E178" s="39"/>
      <c r="F178" s="49"/>
      <c r="G178" s="39"/>
      <c r="H178" s="39"/>
      <c r="I178" s="50"/>
      <c r="J178" s="28"/>
      <c r="K178" s="43"/>
      <c r="L178" s="47" t="str">
        <f t="shared" si="25"/>
        <v/>
      </c>
      <c r="M178" s="43"/>
      <c r="N178" s="44"/>
      <c r="O178" s="67"/>
      <c r="P178" s="70"/>
      <c r="Q178" s="71"/>
      <c r="R178" s="71"/>
      <c r="S178" s="72"/>
      <c r="T178" s="67"/>
      <c r="U178" s="42" t="str">
        <f t="shared" si="22"/>
        <v/>
      </c>
      <c r="V178" s="42" t="str">
        <f t="shared" si="23"/>
        <v/>
      </c>
      <c r="W178" s="42" t="str">
        <f t="shared" si="24"/>
        <v/>
      </c>
      <c r="X178" s="45" t="str">
        <f t="shared" si="21"/>
        <v/>
      </c>
    </row>
    <row r="179" spans="2:24" s="29" customFormat="1" ht="33" customHeight="1">
      <c r="B179" s="50"/>
      <c r="C179" s="49"/>
      <c r="D179" s="39"/>
      <c r="E179" s="39"/>
      <c r="F179" s="49"/>
      <c r="G179" s="39"/>
      <c r="H179" s="39"/>
      <c r="I179" s="50"/>
      <c r="J179" s="28"/>
      <c r="K179" s="43"/>
      <c r="L179" s="47" t="str">
        <f t="shared" si="25"/>
        <v/>
      </c>
      <c r="M179" s="43"/>
      <c r="N179" s="44"/>
      <c r="O179" s="67"/>
      <c r="P179" s="70"/>
      <c r="Q179" s="71"/>
      <c r="R179" s="71"/>
      <c r="S179" s="72"/>
      <c r="T179" s="67"/>
      <c r="U179" s="42" t="str">
        <f t="shared" si="22"/>
        <v/>
      </c>
      <c r="V179" s="42" t="str">
        <f t="shared" si="23"/>
        <v/>
      </c>
      <c r="W179" s="42" t="str">
        <f t="shared" si="24"/>
        <v/>
      </c>
      <c r="X179" s="45" t="str">
        <f t="shared" si="21"/>
        <v/>
      </c>
    </row>
    <row r="180" spans="2:24" s="29" customFormat="1" ht="33" customHeight="1">
      <c r="B180" s="50"/>
      <c r="C180" s="49"/>
      <c r="D180" s="39"/>
      <c r="E180" s="39"/>
      <c r="F180" s="49"/>
      <c r="G180" s="39"/>
      <c r="H180" s="39"/>
      <c r="I180" s="50"/>
      <c r="J180" s="28"/>
      <c r="K180" s="43"/>
      <c r="L180" s="47" t="str">
        <f t="shared" si="25"/>
        <v/>
      </c>
      <c r="M180" s="43"/>
      <c r="N180" s="44"/>
      <c r="O180" s="67"/>
      <c r="P180" s="70"/>
      <c r="Q180" s="71"/>
      <c r="R180" s="71"/>
      <c r="S180" s="72"/>
      <c r="T180" s="67"/>
      <c r="U180" s="42" t="str">
        <f t="shared" si="22"/>
        <v/>
      </c>
      <c r="V180" s="42" t="str">
        <f t="shared" si="23"/>
        <v/>
      </c>
      <c r="W180" s="42" t="str">
        <f t="shared" si="24"/>
        <v/>
      </c>
      <c r="X180" s="45" t="str">
        <f t="shared" si="21"/>
        <v/>
      </c>
    </row>
    <row r="181" spans="2:24" s="29" customFormat="1" ht="33" customHeight="1">
      <c r="B181" s="50"/>
      <c r="C181" s="49"/>
      <c r="D181" s="39"/>
      <c r="E181" s="39"/>
      <c r="F181" s="49"/>
      <c r="G181" s="39"/>
      <c r="H181" s="39"/>
      <c r="I181" s="50"/>
      <c r="J181" s="28"/>
      <c r="K181" s="43"/>
      <c r="L181" s="47" t="str">
        <f t="shared" si="25"/>
        <v/>
      </c>
      <c r="M181" s="43"/>
      <c r="N181" s="44"/>
      <c r="O181" s="67"/>
      <c r="P181" s="70"/>
      <c r="Q181" s="71"/>
      <c r="R181" s="71"/>
      <c r="S181" s="72"/>
      <c r="T181" s="67"/>
      <c r="U181" s="42" t="str">
        <f t="shared" si="22"/>
        <v/>
      </c>
      <c r="V181" s="42" t="str">
        <f t="shared" si="23"/>
        <v/>
      </c>
      <c r="W181" s="42" t="str">
        <f t="shared" si="24"/>
        <v/>
      </c>
      <c r="X181" s="45" t="str">
        <f t="shared" si="21"/>
        <v/>
      </c>
    </row>
    <row r="182" spans="2:24" s="29" customFormat="1" ht="33" customHeight="1">
      <c r="B182" s="50"/>
      <c r="C182" s="49"/>
      <c r="D182" s="39"/>
      <c r="E182" s="39"/>
      <c r="F182" s="49"/>
      <c r="G182" s="39"/>
      <c r="H182" s="39"/>
      <c r="I182" s="50"/>
      <c r="J182" s="28"/>
      <c r="K182" s="43"/>
      <c r="L182" s="47" t="str">
        <f t="shared" ref="L182:L213" si="26">IF(AND(K182="",O182=""),"",IF(K182=0,"NO APLICA",IF(O182&gt;0,"SI","NO")))</f>
        <v/>
      </c>
      <c r="M182" s="43"/>
      <c r="N182" s="44"/>
      <c r="O182" s="67"/>
      <c r="P182" s="70"/>
      <c r="Q182" s="71"/>
      <c r="R182" s="71"/>
      <c r="S182" s="72"/>
      <c r="T182" s="67"/>
      <c r="U182" s="42" t="str">
        <f t="shared" si="22"/>
        <v/>
      </c>
      <c r="V182" s="42" t="str">
        <f t="shared" si="23"/>
        <v/>
      </c>
      <c r="W182" s="42" t="str">
        <f t="shared" si="24"/>
        <v/>
      </c>
      <c r="X182" s="45" t="str">
        <f t="shared" si="21"/>
        <v/>
      </c>
    </row>
    <row r="183" spans="2:24" s="29" customFormat="1" ht="33" customHeight="1">
      <c r="B183" s="50"/>
      <c r="C183" s="49"/>
      <c r="D183" s="39"/>
      <c r="E183" s="39"/>
      <c r="F183" s="49"/>
      <c r="G183" s="39"/>
      <c r="H183" s="39"/>
      <c r="I183" s="50"/>
      <c r="J183" s="28"/>
      <c r="K183" s="43"/>
      <c r="L183" s="47" t="str">
        <f t="shared" si="26"/>
        <v/>
      </c>
      <c r="M183" s="43"/>
      <c r="N183" s="44"/>
      <c r="O183" s="67"/>
      <c r="P183" s="70"/>
      <c r="Q183" s="71"/>
      <c r="R183" s="71"/>
      <c r="S183" s="72"/>
      <c r="T183" s="67"/>
      <c r="U183" s="42" t="str">
        <f t="shared" si="22"/>
        <v/>
      </c>
      <c r="V183" s="42" t="str">
        <f t="shared" si="23"/>
        <v/>
      </c>
      <c r="W183" s="42" t="str">
        <f t="shared" si="24"/>
        <v/>
      </c>
      <c r="X183" s="45" t="str">
        <f t="shared" si="21"/>
        <v/>
      </c>
    </row>
    <row r="184" spans="2:24" s="29" customFormat="1" ht="33" customHeight="1">
      <c r="B184" s="50"/>
      <c r="C184" s="49"/>
      <c r="D184" s="39"/>
      <c r="E184" s="39"/>
      <c r="F184" s="49"/>
      <c r="G184" s="39"/>
      <c r="H184" s="39"/>
      <c r="I184" s="50"/>
      <c r="J184" s="28"/>
      <c r="K184" s="43"/>
      <c r="L184" s="47" t="str">
        <f t="shared" si="26"/>
        <v/>
      </c>
      <c r="M184" s="43"/>
      <c r="N184" s="44"/>
      <c r="O184" s="67"/>
      <c r="P184" s="70"/>
      <c r="Q184" s="71"/>
      <c r="R184" s="71"/>
      <c r="S184" s="72"/>
      <c r="T184" s="67"/>
      <c r="U184" s="42" t="str">
        <f t="shared" si="22"/>
        <v/>
      </c>
      <c r="V184" s="42" t="str">
        <f t="shared" si="23"/>
        <v/>
      </c>
      <c r="W184" s="42" t="str">
        <f t="shared" si="24"/>
        <v/>
      </c>
      <c r="X184" s="45" t="str">
        <f t="shared" si="21"/>
        <v/>
      </c>
    </row>
    <row r="185" spans="2:24" s="29" customFormat="1" ht="33" customHeight="1">
      <c r="B185" s="50"/>
      <c r="C185" s="49"/>
      <c r="D185" s="39"/>
      <c r="E185" s="39"/>
      <c r="F185" s="49"/>
      <c r="G185" s="39"/>
      <c r="H185" s="39"/>
      <c r="I185" s="50"/>
      <c r="J185" s="28"/>
      <c r="K185" s="43"/>
      <c r="L185" s="47" t="str">
        <f t="shared" si="26"/>
        <v/>
      </c>
      <c r="M185" s="43"/>
      <c r="N185" s="44"/>
      <c r="O185" s="67"/>
      <c r="P185" s="70"/>
      <c r="Q185" s="71"/>
      <c r="R185" s="71"/>
      <c r="S185" s="72"/>
      <c r="T185" s="67"/>
      <c r="U185" s="42" t="str">
        <f t="shared" si="22"/>
        <v/>
      </c>
      <c r="V185" s="42" t="str">
        <f t="shared" si="23"/>
        <v/>
      </c>
      <c r="W185" s="42" t="str">
        <f t="shared" si="24"/>
        <v/>
      </c>
      <c r="X185" s="45" t="str">
        <f t="shared" si="21"/>
        <v/>
      </c>
    </row>
    <row r="186" spans="2:24" s="29" customFormat="1" ht="33" customHeight="1">
      <c r="B186" s="50"/>
      <c r="C186" s="49"/>
      <c r="D186" s="39"/>
      <c r="E186" s="39"/>
      <c r="F186" s="49"/>
      <c r="G186" s="39"/>
      <c r="H186" s="39"/>
      <c r="I186" s="50"/>
      <c r="J186" s="28"/>
      <c r="K186" s="43"/>
      <c r="L186" s="47" t="str">
        <f t="shared" si="26"/>
        <v/>
      </c>
      <c r="M186" s="43"/>
      <c r="N186" s="44"/>
      <c r="O186" s="67"/>
      <c r="P186" s="70"/>
      <c r="Q186" s="71"/>
      <c r="R186" s="71"/>
      <c r="S186" s="72"/>
      <c r="T186" s="67"/>
      <c r="U186" s="42" t="str">
        <f t="shared" si="22"/>
        <v/>
      </c>
      <c r="V186" s="42" t="str">
        <f t="shared" si="23"/>
        <v/>
      </c>
      <c r="W186" s="42" t="str">
        <f t="shared" si="24"/>
        <v/>
      </c>
      <c r="X186" s="45" t="str">
        <f t="shared" si="21"/>
        <v/>
      </c>
    </row>
    <row r="187" spans="2:24" s="29" customFormat="1" ht="33" customHeight="1">
      <c r="B187" s="50"/>
      <c r="C187" s="49"/>
      <c r="D187" s="39"/>
      <c r="E187" s="39"/>
      <c r="F187" s="49"/>
      <c r="G187" s="39"/>
      <c r="H187" s="39"/>
      <c r="I187" s="50"/>
      <c r="J187" s="28"/>
      <c r="K187" s="43"/>
      <c r="L187" s="47" t="str">
        <f t="shared" si="26"/>
        <v/>
      </c>
      <c r="M187" s="43"/>
      <c r="N187" s="44"/>
      <c r="O187" s="67"/>
      <c r="P187" s="70"/>
      <c r="Q187" s="71"/>
      <c r="R187" s="71"/>
      <c r="S187" s="72"/>
      <c r="T187" s="67"/>
      <c r="U187" s="42" t="str">
        <f t="shared" si="22"/>
        <v/>
      </c>
      <c r="V187" s="42" t="str">
        <f t="shared" si="23"/>
        <v/>
      </c>
      <c r="W187" s="42" t="str">
        <f t="shared" si="24"/>
        <v/>
      </c>
      <c r="X187" s="45" t="str">
        <f t="shared" si="21"/>
        <v/>
      </c>
    </row>
    <row r="188" spans="2:24" s="29" customFormat="1" ht="33" customHeight="1">
      <c r="B188" s="50"/>
      <c r="C188" s="49"/>
      <c r="D188" s="39"/>
      <c r="E188" s="39"/>
      <c r="F188" s="49"/>
      <c r="G188" s="39"/>
      <c r="H188" s="39"/>
      <c r="I188" s="50"/>
      <c r="J188" s="28"/>
      <c r="K188" s="43"/>
      <c r="L188" s="47" t="str">
        <f t="shared" si="26"/>
        <v/>
      </c>
      <c r="M188" s="43"/>
      <c r="N188" s="44"/>
      <c r="O188" s="67"/>
      <c r="P188" s="70"/>
      <c r="Q188" s="71"/>
      <c r="R188" s="71"/>
      <c r="S188" s="72"/>
      <c r="T188" s="67"/>
      <c r="U188" s="42" t="str">
        <f t="shared" si="22"/>
        <v/>
      </c>
      <c r="V188" s="42" t="str">
        <f t="shared" si="23"/>
        <v/>
      </c>
      <c r="W188" s="42" t="str">
        <f t="shared" si="24"/>
        <v/>
      </c>
      <c r="X188" s="45" t="str">
        <f t="shared" si="21"/>
        <v/>
      </c>
    </row>
    <row r="189" spans="2:24" s="29" customFormat="1" ht="33" customHeight="1">
      <c r="B189" s="50"/>
      <c r="C189" s="49"/>
      <c r="D189" s="39"/>
      <c r="E189" s="39"/>
      <c r="F189" s="49"/>
      <c r="G189" s="39"/>
      <c r="H189" s="39"/>
      <c r="I189" s="50"/>
      <c r="J189" s="28"/>
      <c r="K189" s="43"/>
      <c r="L189" s="47" t="str">
        <f t="shared" si="26"/>
        <v/>
      </c>
      <c r="M189" s="43"/>
      <c r="N189" s="44"/>
      <c r="O189" s="67"/>
      <c r="P189" s="70"/>
      <c r="Q189" s="71"/>
      <c r="R189" s="71"/>
      <c r="S189" s="72"/>
      <c r="T189" s="67"/>
      <c r="U189" s="42" t="str">
        <f t="shared" si="22"/>
        <v/>
      </c>
      <c r="V189" s="42" t="str">
        <f t="shared" si="23"/>
        <v/>
      </c>
      <c r="W189" s="42" t="str">
        <f t="shared" si="24"/>
        <v/>
      </c>
      <c r="X189" s="45" t="str">
        <f t="shared" si="21"/>
        <v/>
      </c>
    </row>
    <row r="190" spans="2:24" s="29" customFormat="1" ht="33" customHeight="1">
      <c r="B190" s="50"/>
      <c r="C190" s="49"/>
      <c r="D190" s="39"/>
      <c r="E190" s="39"/>
      <c r="F190" s="49"/>
      <c r="G190" s="39"/>
      <c r="H190" s="39"/>
      <c r="I190" s="50"/>
      <c r="J190" s="28"/>
      <c r="K190" s="43"/>
      <c r="L190" s="47" t="str">
        <f t="shared" si="26"/>
        <v/>
      </c>
      <c r="M190" s="43"/>
      <c r="N190" s="44"/>
      <c r="O190" s="67"/>
      <c r="P190" s="70"/>
      <c r="Q190" s="71"/>
      <c r="R190" s="71"/>
      <c r="S190" s="72"/>
      <c r="T190" s="67"/>
      <c r="U190" s="42" t="str">
        <f t="shared" si="22"/>
        <v/>
      </c>
      <c r="V190" s="42" t="str">
        <f t="shared" si="23"/>
        <v/>
      </c>
      <c r="W190" s="42" t="str">
        <f t="shared" si="24"/>
        <v/>
      </c>
      <c r="X190" s="45" t="str">
        <f t="shared" si="21"/>
        <v/>
      </c>
    </row>
    <row r="191" spans="2:24" s="29" customFormat="1" ht="33" customHeight="1">
      <c r="B191" s="50"/>
      <c r="C191" s="49"/>
      <c r="D191" s="39"/>
      <c r="E191" s="39"/>
      <c r="F191" s="49"/>
      <c r="G191" s="39"/>
      <c r="H191" s="39"/>
      <c r="I191" s="50"/>
      <c r="J191" s="28"/>
      <c r="K191" s="43"/>
      <c r="L191" s="47" t="str">
        <f t="shared" si="26"/>
        <v/>
      </c>
      <c r="M191" s="43"/>
      <c r="N191" s="44"/>
      <c r="O191" s="67"/>
      <c r="P191" s="70"/>
      <c r="Q191" s="71"/>
      <c r="R191" s="71"/>
      <c r="S191" s="72"/>
      <c r="T191" s="67"/>
      <c r="U191" s="42" t="str">
        <f t="shared" si="22"/>
        <v/>
      </c>
      <c r="V191" s="42" t="str">
        <f t="shared" si="23"/>
        <v/>
      </c>
      <c r="W191" s="42" t="str">
        <f t="shared" si="24"/>
        <v/>
      </c>
      <c r="X191" s="45" t="str">
        <f t="shared" si="21"/>
        <v/>
      </c>
    </row>
    <row r="192" spans="2:24" s="29" customFormat="1" ht="33" customHeight="1">
      <c r="B192" s="50"/>
      <c r="C192" s="49"/>
      <c r="D192" s="39"/>
      <c r="E192" s="39"/>
      <c r="F192" s="49"/>
      <c r="G192" s="39"/>
      <c r="H192" s="39"/>
      <c r="I192" s="50"/>
      <c r="J192" s="28"/>
      <c r="K192" s="43"/>
      <c r="L192" s="47" t="str">
        <f t="shared" si="26"/>
        <v/>
      </c>
      <c r="M192" s="43"/>
      <c r="N192" s="44"/>
      <c r="O192" s="67"/>
      <c r="P192" s="70"/>
      <c r="Q192" s="71"/>
      <c r="R192" s="71"/>
      <c r="S192" s="72"/>
      <c r="T192" s="67"/>
      <c r="U192" s="42" t="str">
        <f t="shared" si="22"/>
        <v/>
      </c>
      <c r="V192" s="42" t="str">
        <f t="shared" si="23"/>
        <v/>
      </c>
      <c r="W192" s="42" t="str">
        <f t="shared" si="24"/>
        <v/>
      </c>
      <c r="X192" s="45" t="str">
        <f t="shared" si="21"/>
        <v/>
      </c>
    </row>
    <row r="193" spans="2:24" s="29" customFormat="1" ht="33" customHeight="1">
      <c r="B193" s="50"/>
      <c r="C193" s="49"/>
      <c r="D193" s="39"/>
      <c r="E193" s="39"/>
      <c r="F193" s="49"/>
      <c r="G193" s="39"/>
      <c r="H193" s="39"/>
      <c r="I193" s="50"/>
      <c r="J193" s="28"/>
      <c r="K193" s="43"/>
      <c r="L193" s="47" t="str">
        <f t="shared" si="26"/>
        <v/>
      </c>
      <c r="M193" s="43"/>
      <c r="N193" s="44"/>
      <c r="O193" s="67"/>
      <c r="P193" s="70"/>
      <c r="Q193" s="71"/>
      <c r="R193" s="71"/>
      <c r="S193" s="72"/>
      <c r="T193" s="67"/>
      <c r="U193" s="42" t="str">
        <f t="shared" si="22"/>
        <v/>
      </c>
      <c r="V193" s="42" t="str">
        <f t="shared" si="23"/>
        <v/>
      </c>
      <c r="W193" s="42" t="str">
        <f t="shared" si="24"/>
        <v/>
      </c>
      <c r="X193" s="45" t="str">
        <f t="shared" si="21"/>
        <v/>
      </c>
    </row>
    <row r="194" spans="2:24" s="29" customFormat="1" ht="33" customHeight="1">
      <c r="B194" s="50"/>
      <c r="C194" s="49"/>
      <c r="D194" s="39"/>
      <c r="E194" s="39"/>
      <c r="F194" s="49"/>
      <c r="G194" s="39"/>
      <c r="H194" s="39"/>
      <c r="I194" s="50"/>
      <c r="J194" s="28"/>
      <c r="K194" s="43"/>
      <c r="L194" s="47" t="str">
        <f t="shared" si="26"/>
        <v/>
      </c>
      <c r="M194" s="43"/>
      <c r="N194" s="44"/>
      <c r="O194" s="67"/>
      <c r="P194" s="70"/>
      <c r="Q194" s="71"/>
      <c r="R194" s="71"/>
      <c r="S194" s="72"/>
      <c r="T194" s="67"/>
      <c r="U194" s="42" t="str">
        <f t="shared" si="22"/>
        <v/>
      </c>
      <c r="V194" s="42" t="str">
        <f t="shared" si="23"/>
        <v/>
      </c>
      <c r="W194" s="42" t="str">
        <f t="shared" si="24"/>
        <v/>
      </c>
      <c r="X194" s="45" t="str">
        <f t="shared" si="21"/>
        <v/>
      </c>
    </row>
    <row r="195" spans="2:24" s="29" customFormat="1" ht="33" customHeight="1">
      <c r="B195" s="50"/>
      <c r="C195" s="49"/>
      <c r="D195" s="39"/>
      <c r="E195" s="39"/>
      <c r="F195" s="49"/>
      <c r="G195" s="39"/>
      <c r="H195" s="39"/>
      <c r="I195" s="50"/>
      <c r="J195" s="28"/>
      <c r="K195" s="43"/>
      <c r="L195" s="47" t="str">
        <f t="shared" si="26"/>
        <v/>
      </c>
      <c r="M195" s="43"/>
      <c r="N195" s="44"/>
      <c r="O195" s="67"/>
      <c r="P195" s="70"/>
      <c r="Q195" s="71"/>
      <c r="R195" s="71"/>
      <c r="S195" s="72"/>
      <c r="T195" s="67"/>
      <c r="U195" s="42" t="str">
        <f t="shared" si="22"/>
        <v/>
      </c>
      <c r="V195" s="42" t="str">
        <f t="shared" si="23"/>
        <v/>
      </c>
      <c r="W195" s="42" t="str">
        <f t="shared" si="24"/>
        <v/>
      </c>
      <c r="X195" s="45" t="str">
        <f t="shared" si="21"/>
        <v/>
      </c>
    </row>
    <row r="196" spans="2:24" s="29" customFormat="1" ht="33" customHeight="1">
      <c r="B196" s="50"/>
      <c r="C196" s="49"/>
      <c r="D196" s="39"/>
      <c r="E196" s="39"/>
      <c r="F196" s="49"/>
      <c r="G196" s="39"/>
      <c r="H196" s="39"/>
      <c r="I196" s="50"/>
      <c r="J196" s="28"/>
      <c r="K196" s="43"/>
      <c r="L196" s="47" t="str">
        <f t="shared" si="26"/>
        <v/>
      </c>
      <c r="M196" s="43"/>
      <c r="N196" s="44"/>
      <c r="O196" s="67"/>
      <c r="P196" s="70"/>
      <c r="Q196" s="71"/>
      <c r="R196" s="71"/>
      <c r="S196" s="72"/>
      <c r="T196" s="67"/>
      <c r="U196" s="42" t="str">
        <f t="shared" si="22"/>
        <v/>
      </c>
      <c r="V196" s="42" t="str">
        <f t="shared" si="23"/>
        <v/>
      </c>
      <c r="W196" s="42" t="str">
        <f t="shared" si="24"/>
        <v/>
      </c>
      <c r="X196" s="45" t="str">
        <f t="shared" si="21"/>
        <v/>
      </c>
    </row>
    <row r="197" spans="2:24" s="29" customFormat="1" ht="33" customHeight="1">
      <c r="B197" s="50"/>
      <c r="C197" s="49"/>
      <c r="D197" s="39"/>
      <c r="E197" s="39"/>
      <c r="F197" s="49"/>
      <c r="G197" s="39"/>
      <c r="H197" s="39"/>
      <c r="I197" s="50"/>
      <c r="J197" s="28"/>
      <c r="K197" s="43"/>
      <c r="L197" s="47" t="str">
        <f t="shared" si="26"/>
        <v/>
      </c>
      <c r="M197" s="43"/>
      <c r="N197" s="44"/>
      <c r="O197" s="67"/>
      <c r="P197" s="70"/>
      <c r="Q197" s="71"/>
      <c r="R197" s="71"/>
      <c r="S197" s="72"/>
      <c r="T197" s="67"/>
      <c r="U197" s="42" t="str">
        <f t="shared" si="22"/>
        <v/>
      </c>
      <c r="V197" s="42" t="str">
        <f t="shared" si="23"/>
        <v/>
      </c>
      <c r="W197" s="42" t="str">
        <f t="shared" si="24"/>
        <v/>
      </c>
      <c r="X197" s="45" t="str">
        <f t="shared" ref="X197:X215" si="27">IF(E197="","",IFERROR(T197/K197,"-"))</f>
        <v/>
      </c>
    </row>
    <row r="198" spans="2:24" s="29" customFormat="1" ht="33" customHeight="1">
      <c r="B198" s="50"/>
      <c r="C198" s="49"/>
      <c r="D198" s="39"/>
      <c r="E198" s="39"/>
      <c r="F198" s="49"/>
      <c r="G198" s="39"/>
      <c r="H198" s="39"/>
      <c r="I198" s="50"/>
      <c r="J198" s="28"/>
      <c r="K198" s="43"/>
      <c r="L198" s="47" t="str">
        <f t="shared" si="26"/>
        <v/>
      </c>
      <c r="M198" s="43"/>
      <c r="N198" s="44"/>
      <c r="O198" s="67"/>
      <c r="P198" s="70"/>
      <c r="Q198" s="71"/>
      <c r="R198" s="71"/>
      <c r="S198" s="72"/>
      <c r="T198" s="67"/>
      <c r="U198" s="42" t="str">
        <f t="shared" ref="U198:U215" si="28">IF(E198="","",IFERROR(P198/(SUM(P198,Q198,R198)),"-"))</f>
        <v/>
      </c>
      <c r="V198" s="42" t="str">
        <f t="shared" ref="V198:V215" si="29">IF(E198="","",IFERROR(Q198/(SUM(P198,Q198,R198)),"-"))</f>
        <v/>
      </c>
      <c r="W198" s="42" t="str">
        <f t="shared" ref="W198:W215" si="30">IF(E198="","",IFERROR(R198/(SUM(P198,Q198,R198)),"-"))</f>
        <v/>
      </c>
      <c r="X198" s="45" t="str">
        <f t="shared" si="27"/>
        <v/>
      </c>
    </row>
    <row r="199" spans="2:24" s="29" customFormat="1" ht="33" customHeight="1">
      <c r="B199" s="50"/>
      <c r="C199" s="49"/>
      <c r="D199" s="39"/>
      <c r="E199" s="39"/>
      <c r="F199" s="49"/>
      <c r="G199" s="39"/>
      <c r="H199" s="39"/>
      <c r="I199" s="50"/>
      <c r="J199" s="28"/>
      <c r="K199" s="43"/>
      <c r="L199" s="47" t="str">
        <f t="shared" si="26"/>
        <v/>
      </c>
      <c r="M199" s="43"/>
      <c r="N199" s="44"/>
      <c r="O199" s="67"/>
      <c r="P199" s="70"/>
      <c r="Q199" s="71"/>
      <c r="R199" s="71"/>
      <c r="S199" s="72"/>
      <c r="T199" s="67"/>
      <c r="U199" s="42" t="str">
        <f t="shared" si="28"/>
        <v/>
      </c>
      <c r="V199" s="42" t="str">
        <f t="shared" si="29"/>
        <v/>
      </c>
      <c r="W199" s="42" t="str">
        <f t="shared" si="30"/>
        <v/>
      </c>
      <c r="X199" s="45" t="str">
        <f t="shared" si="27"/>
        <v/>
      </c>
    </row>
    <row r="200" spans="2:24" s="29" customFormat="1" ht="33" customHeight="1">
      <c r="B200" s="50"/>
      <c r="C200" s="49"/>
      <c r="D200" s="39"/>
      <c r="E200" s="39"/>
      <c r="F200" s="49"/>
      <c r="G200" s="39"/>
      <c r="H200" s="39"/>
      <c r="I200" s="50"/>
      <c r="J200" s="28"/>
      <c r="K200" s="43"/>
      <c r="L200" s="47" t="str">
        <f t="shared" si="26"/>
        <v/>
      </c>
      <c r="M200" s="43"/>
      <c r="N200" s="44"/>
      <c r="O200" s="67"/>
      <c r="P200" s="70"/>
      <c r="Q200" s="71"/>
      <c r="R200" s="71"/>
      <c r="S200" s="72"/>
      <c r="T200" s="67"/>
      <c r="U200" s="42" t="str">
        <f t="shared" si="28"/>
        <v/>
      </c>
      <c r="V200" s="42" t="str">
        <f t="shared" si="29"/>
        <v/>
      </c>
      <c r="W200" s="42" t="str">
        <f t="shared" si="30"/>
        <v/>
      </c>
      <c r="X200" s="45" t="str">
        <f t="shared" si="27"/>
        <v/>
      </c>
    </row>
    <row r="201" spans="2:24" s="29" customFormat="1" ht="33" customHeight="1">
      <c r="B201" s="50"/>
      <c r="C201" s="49"/>
      <c r="D201" s="39"/>
      <c r="E201" s="39"/>
      <c r="F201" s="49"/>
      <c r="G201" s="39"/>
      <c r="H201" s="39"/>
      <c r="I201" s="50"/>
      <c r="J201" s="28"/>
      <c r="K201" s="43"/>
      <c r="L201" s="47" t="str">
        <f t="shared" si="26"/>
        <v/>
      </c>
      <c r="M201" s="43"/>
      <c r="N201" s="44"/>
      <c r="O201" s="67"/>
      <c r="P201" s="70"/>
      <c r="Q201" s="71"/>
      <c r="R201" s="71"/>
      <c r="S201" s="72"/>
      <c r="T201" s="67"/>
      <c r="U201" s="42" t="str">
        <f t="shared" si="28"/>
        <v/>
      </c>
      <c r="V201" s="42" t="str">
        <f t="shared" si="29"/>
        <v/>
      </c>
      <c r="W201" s="42" t="str">
        <f t="shared" si="30"/>
        <v/>
      </c>
      <c r="X201" s="45" t="str">
        <f t="shared" si="27"/>
        <v/>
      </c>
    </row>
    <row r="202" spans="2:24" s="29" customFormat="1" ht="33" customHeight="1">
      <c r="B202" s="50"/>
      <c r="C202" s="49"/>
      <c r="D202" s="39"/>
      <c r="E202" s="39"/>
      <c r="F202" s="49"/>
      <c r="G202" s="39"/>
      <c r="H202" s="39"/>
      <c r="I202" s="50"/>
      <c r="J202" s="28"/>
      <c r="K202" s="43"/>
      <c r="L202" s="47" t="str">
        <f t="shared" si="26"/>
        <v/>
      </c>
      <c r="M202" s="43"/>
      <c r="N202" s="44"/>
      <c r="O202" s="67"/>
      <c r="P202" s="70"/>
      <c r="Q202" s="71"/>
      <c r="R202" s="71"/>
      <c r="S202" s="72"/>
      <c r="T202" s="67"/>
      <c r="U202" s="42" t="str">
        <f t="shared" si="28"/>
        <v/>
      </c>
      <c r="V202" s="42" t="str">
        <f t="shared" si="29"/>
        <v/>
      </c>
      <c r="W202" s="42" t="str">
        <f t="shared" si="30"/>
        <v/>
      </c>
      <c r="X202" s="45" t="str">
        <f t="shared" si="27"/>
        <v/>
      </c>
    </row>
    <row r="203" spans="2:24" s="29" customFormat="1" ht="33" customHeight="1">
      <c r="B203" s="50"/>
      <c r="C203" s="49"/>
      <c r="D203" s="39"/>
      <c r="E203" s="39"/>
      <c r="F203" s="49"/>
      <c r="G203" s="39"/>
      <c r="H203" s="39"/>
      <c r="I203" s="50"/>
      <c r="J203" s="28"/>
      <c r="K203" s="43"/>
      <c r="L203" s="47" t="str">
        <f t="shared" si="26"/>
        <v/>
      </c>
      <c r="M203" s="43"/>
      <c r="N203" s="44"/>
      <c r="O203" s="67"/>
      <c r="P203" s="70"/>
      <c r="Q203" s="71"/>
      <c r="R203" s="71"/>
      <c r="S203" s="72"/>
      <c r="T203" s="67"/>
      <c r="U203" s="42" t="str">
        <f t="shared" si="28"/>
        <v/>
      </c>
      <c r="V203" s="42" t="str">
        <f t="shared" si="29"/>
        <v/>
      </c>
      <c r="W203" s="42" t="str">
        <f t="shared" si="30"/>
        <v/>
      </c>
      <c r="X203" s="45" t="str">
        <f t="shared" si="27"/>
        <v/>
      </c>
    </row>
    <row r="204" spans="2:24" s="29" customFormat="1" ht="33" customHeight="1">
      <c r="B204" s="50"/>
      <c r="C204" s="49"/>
      <c r="D204" s="39"/>
      <c r="E204" s="39"/>
      <c r="F204" s="49"/>
      <c r="G204" s="39"/>
      <c r="H204" s="39"/>
      <c r="I204" s="50"/>
      <c r="J204" s="28"/>
      <c r="K204" s="43"/>
      <c r="L204" s="47" t="str">
        <f t="shared" si="26"/>
        <v/>
      </c>
      <c r="M204" s="43"/>
      <c r="N204" s="44"/>
      <c r="O204" s="67"/>
      <c r="P204" s="70"/>
      <c r="Q204" s="71"/>
      <c r="R204" s="71"/>
      <c r="S204" s="72"/>
      <c r="T204" s="67"/>
      <c r="U204" s="42" t="str">
        <f t="shared" si="28"/>
        <v/>
      </c>
      <c r="V204" s="42" t="str">
        <f t="shared" si="29"/>
        <v/>
      </c>
      <c r="W204" s="42" t="str">
        <f t="shared" si="30"/>
        <v/>
      </c>
      <c r="X204" s="45" t="str">
        <f t="shared" si="27"/>
        <v/>
      </c>
    </row>
    <row r="205" spans="2:24" s="29" customFormat="1" ht="33" customHeight="1">
      <c r="B205" s="50"/>
      <c r="C205" s="49"/>
      <c r="D205" s="39"/>
      <c r="E205" s="39"/>
      <c r="F205" s="49"/>
      <c r="G205" s="39"/>
      <c r="H205" s="39"/>
      <c r="I205" s="50"/>
      <c r="J205" s="28"/>
      <c r="K205" s="43"/>
      <c r="L205" s="47" t="str">
        <f t="shared" si="26"/>
        <v/>
      </c>
      <c r="M205" s="43"/>
      <c r="N205" s="44"/>
      <c r="O205" s="67"/>
      <c r="P205" s="70"/>
      <c r="Q205" s="71"/>
      <c r="R205" s="71"/>
      <c r="S205" s="72"/>
      <c r="T205" s="67"/>
      <c r="U205" s="42" t="str">
        <f t="shared" si="28"/>
        <v/>
      </c>
      <c r="V205" s="42" t="str">
        <f t="shared" si="29"/>
        <v/>
      </c>
      <c r="W205" s="42" t="str">
        <f t="shared" si="30"/>
        <v/>
      </c>
      <c r="X205" s="45" t="str">
        <f t="shared" si="27"/>
        <v/>
      </c>
    </row>
    <row r="206" spans="2:24" s="29" customFormat="1" ht="33" customHeight="1">
      <c r="B206" s="50"/>
      <c r="C206" s="49"/>
      <c r="D206" s="39"/>
      <c r="E206" s="39"/>
      <c r="F206" s="49"/>
      <c r="G206" s="39"/>
      <c r="H206" s="39"/>
      <c r="I206" s="50"/>
      <c r="J206" s="28"/>
      <c r="K206" s="43"/>
      <c r="L206" s="47" t="str">
        <f t="shared" si="26"/>
        <v/>
      </c>
      <c r="M206" s="43"/>
      <c r="N206" s="44"/>
      <c r="O206" s="67"/>
      <c r="P206" s="70"/>
      <c r="Q206" s="71"/>
      <c r="R206" s="71"/>
      <c r="S206" s="72"/>
      <c r="T206" s="67"/>
      <c r="U206" s="42" t="str">
        <f t="shared" si="28"/>
        <v/>
      </c>
      <c r="V206" s="42" t="str">
        <f t="shared" si="29"/>
        <v/>
      </c>
      <c r="W206" s="42" t="str">
        <f t="shared" si="30"/>
        <v/>
      </c>
      <c r="X206" s="45" t="str">
        <f t="shared" si="27"/>
        <v/>
      </c>
    </row>
    <row r="207" spans="2:24" s="29" customFormat="1" ht="33" customHeight="1">
      <c r="B207" s="50"/>
      <c r="C207" s="49"/>
      <c r="D207" s="39"/>
      <c r="E207" s="39"/>
      <c r="F207" s="49"/>
      <c r="G207" s="39"/>
      <c r="H207" s="39"/>
      <c r="I207" s="50"/>
      <c r="J207" s="28"/>
      <c r="K207" s="43"/>
      <c r="L207" s="47" t="str">
        <f t="shared" si="26"/>
        <v/>
      </c>
      <c r="M207" s="43"/>
      <c r="N207" s="44"/>
      <c r="O207" s="67"/>
      <c r="P207" s="70"/>
      <c r="Q207" s="71"/>
      <c r="R207" s="71"/>
      <c r="S207" s="72"/>
      <c r="T207" s="67"/>
      <c r="U207" s="42" t="str">
        <f t="shared" si="28"/>
        <v/>
      </c>
      <c r="V207" s="42" t="str">
        <f t="shared" si="29"/>
        <v/>
      </c>
      <c r="W207" s="42" t="str">
        <f t="shared" si="30"/>
        <v/>
      </c>
      <c r="X207" s="45" t="str">
        <f t="shared" si="27"/>
        <v/>
      </c>
    </row>
    <row r="208" spans="2:24" s="29" customFormat="1" ht="33" customHeight="1">
      <c r="B208" s="50"/>
      <c r="C208" s="49"/>
      <c r="D208" s="39"/>
      <c r="E208" s="39"/>
      <c r="F208" s="49"/>
      <c r="G208" s="39"/>
      <c r="H208" s="39"/>
      <c r="I208" s="50"/>
      <c r="J208" s="28"/>
      <c r="K208" s="43"/>
      <c r="L208" s="47" t="str">
        <f t="shared" si="26"/>
        <v/>
      </c>
      <c r="M208" s="43"/>
      <c r="N208" s="44"/>
      <c r="O208" s="67"/>
      <c r="P208" s="70"/>
      <c r="Q208" s="71"/>
      <c r="R208" s="71"/>
      <c r="S208" s="72"/>
      <c r="T208" s="67"/>
      <c r="U208" s="42" t="str">
        <f t="shared" si="28"/>
        <v/>
      </c>
      <c r="V208" s="42" t="str">
        <f t="shared" si="29"/>
        <v/>
      </c>
      <c r="W208" s="42" t="str">
        <f t="shared" si="30"/>
        <v/>
      </c>
      <c r="X208" s="45" t="str">
        <f t="shared" si="27"/>
        <v/>
      </c>
    </row>
    <row r="209" spans="2:24" s="29" customFormat="1" ht="33" customHeight="1">
      <c r="B209" s="50"/>
      <c r="C209" s="49"/>
      <c r="D209" s="39"/>
      <c r="E209" s="39"/>
      <c r="F209" s="49"/>
      <c r="G209" s="39"/>
      <c r="H209" s="39"/>
      <c r="I209" s="50"/>
      <c r="J209" s="28"/>
      <c r="K209" s="43"/>
      <c r="L209" s="47" t="str">
        <f t="shared" si="26"/>
        <v/>
      </c>
      <c r="M209" s="43"/>
      <c r="N209" s="44"/>
      <c r="O209" s="67"/>
      <c r="P209" s="70"/>
      <c r="Q209" s="71"/>
      <c r="R209" s="71"/>
      <c r="S209" s="72"/>
      <c r="T209" s="67"/>
      <c r="U209" s="42" t="str">
        <f t="shared" si="28"/>
        <v/>
      </c>
      <c r="V209" s="42" t="str">
        <f t="shared" si="29"/>
        <v/>
      </c>
      <c r="W209" s="42" t="str">
        <f t="shared" si="30"/>
        <v/>
      </c>
      <c r="X209" s="45" t="str">
        <f t="shared" si="27"/>
        <v/>
      </c>
    </row>
    <row r="210" spans="2:24" s="29" customFormat="1" ht="33" customHeight="1">
      <c r="B210" s="50"/>
      <c r="C210" s="49"/>
      <c r="D210" s="39"/>
      <c r="E210" s="39"/>
      <c r="F210" s="49"/>
      <c r="G210" s="39"/>
      <c r="H210" s="39"/>
      <c r="I210" s="50"/>
      <c r="J210" s="28"/>
      <c r="K210" s="43"/>
      <c r="L210" s="47" t="str">
        <f t="shared" si="26"/>
        <v/>
      </c>
      <c r="M210" s="43"/>
      <c r="N210" s="44"/>
      <c r="O210" s="67"/>
      <c r="P210" s="70"/>
      <c r="Q210" s="71"/>
      <c r="R210" s="71"/>
      <c r="S210" s="72"/>
      <c r="T210" s="67"/>
      <c r="U210" s="42" t="str">
        <f t="shared" si="28"/>
        <v/>
      </c>
      <c r="V210" s="42" t="str">
        <f t="shared" si="29"/>
        <v/>
      </c>
      <c r="W210" s="42" t="str">
        <f t="shared" si="30"/>
        <v/>
      </c>
      <c r="X210" s="45" t="str">
        <f t="shared" si="27"/>
        <v/>
      </c>
    </row>
    <row r="211" spans="2:24" s="29" customFormat="1" ht="33" customHeight="1">
      <c r="B211" s="50"/>
      <c r="C211" s="49"/>
      <c r="D211" s="39"/>
      <c r="E211" s="39"/>
      <c r="F211" s="49"/>
      <c r="G211" s="39"/>
      <c r="H211" s="39"/>
      <c r="I211" s="50"/>
      <c r="J211" s="28"/>
      <c r="K211" s="43"/>
      <c r="L211" s="47" t="str">
        <f t="shared" si="26"/>
        <v/>
      </c>
      <c r="M211" s="43"/>
      <c r="N211" s="44"/>
      <c r="O211" s="67"/>
      <c r="P211" s="70"/>
      <c r="Q211" s="71"/>
      <c r="R211" s="71"/>
      <c r="S211" s="72"/>
      <c r="T211" s="67"/>
      <c r="U211" s="42" t="str">
        <f t="shared" si="28"/>
        <v/>
      </c>
      <c r="V211" s="42" t="str">
        <f t="shared" si="29"/>
        <v/>
      </c>
      <c r="W211" s="42" t="str">
        <f t="shared" si="30"/>
        <v/>
      </c>
      <c r="X211" s="45" t="str">
        <f t="shared" si="27"/>
        <v/>
      </c>
    </row>
    <row r="212" spans="2:24" s="29" customFormat="1" ht="33" customHeight="1">
      <c r="B212" s="50"/>
      <c r="C212" s="49"/>
      <c r="D212" s="39"/>
      <c r="E212" s="39"/>
      <c r="F212" s="49"/>
      <c r="G212" s="39"/>
      <c r="H212" s="39"/>
      <c r="I212" s="50"/>
      <c r="J212" s="28"/>
      <c r="K212" s="43"/>
      <c r="L212" s="47" t="str">
        <f t="shared" si="26"/>
        <v/>
      </c>
      <c r="M212" s="43"/>
      <c r="N212" s="44"/>
      <c r="O212" s="67"/>
      <c r="P212" s="70"/>
      <c r="Q212" s="71"/>
      <c r="R212" s="71"/>
      <c r="S212" s="72"/>
      <c r="T212" s="67"/>
      <c r="U212" s="42" t="str">
        <f t="shared" si="28"/>
        <v/>
      </c>
      <c r="V212" s="42" t="str">
        <f t="shared" si="29"/>
        <v/>
      </c>
      <c r="W212" s="42" t="str">
        <f t="shared" si="30"/>
        <v/>
      </c>
      <c r="X212" s="45" t="str">
        <f t="shared" si="27"/>
        <v/>
      </c>
    </row>
    <row r="213" spans="2:24" s="29" customFormat="1" ht="33" customHeight="1">
      <c r="B213" s="50"/>
      <c r="C213" s="49"/>
      <c r="D213" s="39"/>
      <c r="E213" s="39"/>
      <c r="F213" s="49"/>
      <c r="G213" s="39"/>
      <c r="H213" s="39"/>
      <c r="I213" s="50"/>
      <c r="J213" s="28"/>
      <c r="K213" s="43"/>
      <c r="L213" s="47" t="str">
        <f t="shared" si="26"/>
        <v/>
      </c>
      <c r="M213" s="43"/>
      <c r="N213" s="44"/>
      <c r="O213" s="67"/>
      <c r="P213" s="70"/>
      <c r="Q213" s="71"/>
      <c r="R213" s="71"/>
      <c r="S213" s="72"/>
      <c r="T213" s="67"/>
      <c r="U213" s="42" t="str">
        <f t="shared" si="28"/>
        <v/>
      </c>
      <c r="V213" s="42" t="str">
        <f t="shared" si="29"/>
        <v/>
      </c>
      <c r="W213" s="42" t="str">
        <f t="shared" si="30"/>
        <v/>
      </c>
      <c r="X213" s="45" t="str">
        <f t="shared" si="27"/>
        <v/>
      </c>
    </row>
    <row r="214" spans="2:24" s="29" customFormat="1" ht="33" customHeight="1">
      <c r="B214" s="50"/>
      <c r="C214" s="49"/>
      <c r="D214" s="39"/>
      <c r="E214" s="39"/>
      <c r="F214" s="49"/>
      <c r="G214" s="39"/>
      <c r="H214" s="39"/>
      <c r="I214" s="50"/>
      <c r="J214" s="28"/>
      <c r="K214" s="43"/>
      <c r="L214" s="47" t="str">
        <f t="shared" ref="L214:L215" si="31">IF(AND(K214="",O214=""),"",IF(K214=0,"NO APLICA",IF(O214&gt;0,"SI","NO")))</f>
        <v/>
      </c>
      <c r="M214" s="43"/>
      <c r="N214" s="44"/>
      <c r="O214" s="67"/>
      <c r="P214" s="70"/>
      <c r="Q214" s="71"/>
      <c r="R214" s="71"/>
      <c r="S214" s="72"/>
      <c r="T214" s="67"/>
      <c r="U214" s="42" t="str">
        <f t="shared" si="28"/>
        <v/>
      </c>
      <c r="V214" s="42" t="str">
        <f t="shared" si="29"/>
        <v/>
      </c>
      <c r="W214" s="42" t="str">
        <f t="shared" si="30"/>
        <v/>
      </c>
      <c r="X214" s="45" t="str">
        <f t="shared" si="27"/>
        <v/>
      </c>
    </row>
    <row r="215" spans="2:24" s="29" customFormat="1" ht="33" customHeight="1">
      <c r="B215" s="50"/>
      <c r="C215" s="49"/>
      <c r="D215" s="39"/>
      <c r="E215" s="39"/>
      <c r="F215" s="49"/>
      <c r="G215" s="39"/>
      <c r="H215" s="39"/>
      <c r="I215" s="50"/>
      <c r="J215" s="28"/>
      <c r="K215" s="43"/>
      <c r="L215" s="47" t="str">
        <f t="shared" si="31"/>
        <v/>
      </c>
      <c r="M215" s="43"/>
      <c r="N215" s="44"/>
      <c r="O215" s="67"/>
      <c r="P215" s="70"/>
      <c r="Q215" s="71"/>
      <c r="R215" s="71"/>
      <c r="S215" s="72"/>
      <c r="T215" s="67"/>
      <c r="U215" s="42" t="str">
        <f t="shared" si="28"/>
        <v/>
      </c>
      <c r="V215" s="42" t="str">
        <f t="shared" si="29"/>
        <v/>
      </c>
      <c r="W215" s="42" t="str">
        <f t="shared" si="30"/>
        <v/>
      </c>
      <c r="X215" s="45" t="str">
        <f t="shared" si="27"/>
        <v/>
      </c>
    </row>
    <row r="216" spans="2:24">
      <c r="B216" s="133"/>
      <c r="C216" s="133"/>
      <c r="D216" s="63"/>
      <c r="E216" s="63"/>
      <c r="F216" s="134"/>
      <c r="G216" s="134"/>
      <c r="H216" s="134"/>
      <c r="I216" s="180"/>
      <c r="J216" s="53"/>
      <c r="K216" s="135"/>
      <c r="M216" s="135"/>
      <c r="N216" s="135"/>
      <c r="O216" s="136"/>
      <c r="T216" s="136"/>
    </row>
    <row r="217" spans="2:24">
      <c r="B217" s="133"/>
      <c r="C217" s="133"/>
      <c r="D217" s="63"/>
      <c r="E217" s="63"/>
      <c r="F217" s="134"/>
      <c r="G217" s="134"/>
      <c r="H217" s="134"/>
      <c r="I217" s="180"/>
      <c r="J217" s="53"/>
      <c r="K217" s="137"/>
      <c r="L217" s="138"/>
      <c r="M217" s="135"/>
      <c r="N217" s="135"/>
      <c r="O217" s="136"/>
      <c r="T217" s="136"/>
    </row>
    <row r="218" spans="2:24">
      <c r="B218" s="133"/>
      <c r="C218" s="133"/>
      <c r="D218" s="63"/>
      <c r="E218" s="63"/>
      <c r="F218" s="134"/>
      <c r="G218" s="134"/>
      <c r="H218" s="134"/>
      <c r="I218" s="180"/>
      <c r="J218" s="53"/>
      <c r="K218" s="135"/>
      <c r="M218" s="135"/>
      <c r="N218" s="135"/>
      <c r="O218" s="136"/>
      <c r="P218" s="138"/>
      <c r="Q218" s="138"/>
      <c r="R218" s="138"/>
      <c r="T218" s="136"/>
    </row>
    <row r="219" spans="2:24">
      <c r="B219" s="133"/>
      <c r="C219" s="133"/>
      <c r="D219" s="63"/>
      <c r="E219" s="63"/>
      <c r="F219" s="134"/>
      <c r="G219" s="134"/>
      <c r="H219" s="134"/>
      <c r="I219" s="180"/>
      <c r="J219" s="53"/>
      <c r="K219" s="135"/>
      <c r="M219" s="135"/>
      <c r="N219" s="135"/>
      <c r="O219" s="136"/>
      <c r="T219" s="136"/>
    </row>
    <row r="220" spans="2:24">
      <c r="J220" s="53"/>
      <c r="K220" s="135"/>
      <c r="M220" s="135"/>
      <c r="N220" s="135"/>
      <c r="O220" s="136"/>
      <c r="T220" s="136"/>
    </row>
    <row r="221" spans="2:24">
      <c r="J221" s="53"/>
      <c r="K221" s="135"/>
      <c r="M221" s="135"/>
      <c r="N221" s="135"/>
      <c r="O221" s="136"/>
      <c r="T221" s="136"/>
    </row>
    <row r="222" spans="2:24">
      <c r="J222" s="53"/>
      <c r="K222" s="135"/>
      <c r="M222" s="135"/>
      <c r="N222" s="135"/>
      <c r="O222" s="136"/>
      <c r="T222" s="136"/>
    </row>
    <row r="223" spans="2:24">
      <c r="J223" s="53"/>
      <c r="K223" s="135"/>
      <c r="M223" s="135"/>
      <c r="N223" s="135"/>
      <c r="O223" s="136"/>
      <c r="T223" s="136"/>
    </row>
    <row r="224" spans="2:24">
      <c r="J224" s="53"/>
      <c r="K224" s="135"/>
      <c r="M224" s="135"/>
      <c r="N224" s="135"/>
      <c r="O224" s="136"/>
      <c r="T224" s="136"/>
    </row>
    <row r="225" spans="10:20">
      <c r="J225" s="53"/>
      <c r="K225" s="135"/>
      <c r="M225" s="135"/>
      <c r="N225" s="135"/>
      <c r="O225" s="136"/>
      <c r="T225" s="136"/>
    </row>
    <row r="226" spans="10:20">
      <c r="J226" s="53"/>
      <c r="K226" s="135"/>
      <c r="M226" s="135"/>
      <c r="N226" s="135"/>
      <c r="O226" s="136"/>
      <c r="T226" s="136"/>
    </row>
    <row r="227" spans="10:20">
      <c r="J227" s="53"/>
      <c r="K227" s="135"/>
      <c r="M227" s="135"/>
      <c r="N227" s="135"/>
      <c r="O227" s="136"/>
      <c r="T227" s="136"/>
    </row>
    <row r="228" spans="10:20">
      <c r="J228" s="53"/>
      <c r="K228" s="135"/>
      <c r="M228" s="135"/>
      <c r="N228" s="135"/>
      <c r="O228" s="136"/>
      <c r="T228" s="136"/>
    </row>
    <row r="229" spans="10:20">
      <c r="J229" s="53"/>
      <c r="K229" s="135"/>
      <c r="M229" s="135"/>
      <c r="N229" s="135"/>
      <c r="O229" s="136"/>
      <c r="T229" s="136"/>
    </row>
    <row r="230" spans="10:20">
      <c r="J230" s="53"/>
    </row>
  </sheetData>
  <autoFilter ref="B4:X215"/>
  <conditionalFormatting sqref="L204:L215 L79 L81 L7 L13:L15 L11 L5 L33 L48 L52:L54 L65 L67 L62 L72 L77 L75 L38:L40 L90:L93 L86:L87">
    <cfRule type="cellIs" dxfId="193" priority="268" operator="equal">
      <formula>"NO"</formula>
    </cfRule>
    <cfRule type="cellIs" dxfId="192" priority="269" operator="equal">
      <formula>"SI"</formula>
    </cfRule>
  </conditionalFormatting>
  <conditionalFormatting sqref="L94:L104">
    <cfRule type="cellIs" dxfId="191" priority="244" operator="equal">
      <formula>"NO"</formula>
    </cfRule>
    <cfRule type="cellIs" dxfId="190" priority="245" operator="equal">
      <formula>"SI"</formula>
    </cfRule>
  </conditionalFormatting>
  <conditionalFormatting sqref="L193:L203">
    <cfRule type="cellIs" dxfId="189" priority="262" operator="equal">
      <formula>"NO"</formula>
    </cfRule>
    <cfRule type="cellIs" dxfId="188" priority="263" operator="equal">
      <formula>"SI"</formula>
    </cfRule>
  </conditionalFormatting>
  <conditionalFormatting sqref="L182:L192">
    <cfRule type="cellIs" dxfId="187" priority="260" operator="equal">
      <formula>"NO"</formula>
    </cfRule>
    <cfRule type="cellIs" dxfId="186" priority="261" operator="equal">
      <formula>"SI"</formula>
    </cfRule>
  </conditionalFormatting>
  <conditionalFormatting sqref="L171:L181">
    <cfRule type="cellIs" dxfId="185" priority="258" operator="equal">
      <formula>"NO"</formula>
    </cfRule>
    <cfRule type="cellIs" dxfId="184" priority="259" operator="equal">
      <formula>"SI"</formula>
    </cfRule>
  </conditionalFormatting>
  <conditionalFormatting sqref="L160:L170">
    <cfRule type="cellIs" dxfId="183" priority="256" operator="equal">
      <formula>"NO"</formula>
    </cfRule>
    <cfRule type="cellIs" dxfId="182" priority="257" operator="equal">
      <formula>"SI"</formula>
    </cfRule>
  </conditionalFormatting>
  <conditionalFormatting sqref="L149:L159">
    <cfRule type="cellIs" dxfId="181" priority="254" operator="equal">
      <formula>"NO"</formula>
    </cfRule>
    <cfRule type="cellIs" dxfId="180" priority="255" operator="equal">
      <formula>"SI"</formula>
    </cfRule>
  </conditionalFormatting>
  <conditionalFormatting sqref="L138:L148">
    <cfRule type="cellIs" dxfId="179" priority="252" operator="equal">
      <formula>"NO"</formula>
    </cfRule>
    <cfRule type="cellIs" dxfId="178" priority="253" operator="equal">
      <formula>"SI"</formula>
    </cfRule>
  </conditionalFormatting>
  <conditionalFormatting sqref="L127:L137">
    <cfRule type="cellIs" dxfId="177" priority="250" operator="equal">
      <formula>"NO"</formula>
    </cfRule>
    <cfRule type="cellIs" dxfId="176" priority="251" operator="equal">
      <formula>"SI"</formula>
    </cfRule>
  </conditionalFormatting>
  <conditionalFormatting sqref="L116:L126">
    <cfRule type="cellIs" dxfId="175" priority="248" operator="equal">
      <formula>"NO"</formula>
    </cfRule>
    <cfRule type="cellIs" dxfId="174" priority="249" operator="equal">
      <formula>"SI"</formula>
    </cfRule>
  </conditionalFormatting>
  <conditionalFormatting sqref="L105:L115">
    <cfRule type="cellIs" dxfId="173" priority="246" operator="equal">
      <formula>"NO"</formula>
    </cfRule>
    <cfRule type="cellIs" dxfId="172" priority="247" operator="equal">
      <formula>"SI"</formula>
    </cfRule>
  </conditionalFormatting>
  <conditionalFormatting sqref="L16">
    <cfRule type="cellIs" dxfId="171" priority="242" operator="equal">
      <formula>"NO"</formula>
    </cfRule>
    <cfRule type="cellIs" dxfId="170" priority="243" operator="equal">
      <formula>"SI"</formula>
    </cfRule>
  </conditionalFormatting>
  <conditionalFormatting sqref="L21">
    <cfRule type="cellIs" dxfId="169" priority="230" operator="equal">
      <formula>"NO"</formula>
    </cfRule>
    <cfRule type="cellIs" dxfId="168" priority="231" operator="equal">
      <formula>"SI"</formula>
    </cfRule>
  </conditionalFormatting>
  <conditionalFormatting sqref="L12">
    <cfRule type="cellIs" dxfId="167" priority="228" operator="equal">
      <formula>"NO"</formula>
    </cfRule>
    <cfRule type="cellIs" dxfId="166" priority="229" operator="equal">
      <formula>"SI"</formula>
    </cfRule>
  </conditionalFormatting>
  <conditionalFormatting sqref="L17">
    <cfRule type="cellIs" dxfId="165" priority="224" operator="equal">
      <formula>"NO"</formula>
    </cfRule>
    <cfRule type="cellIs" dxfId="164" priority="225" operator="equal">
      <formula>"SI"</formula>
    </cfRule>
  </conditionalFormatting>
  <conditionalFormatting sqref="L8">
    <cfRule type="cellIs" dxfId="163" priority="218" operator="equal">
      <formula>"NO"</formula>
    </cfRule>
    <cfRule type="cellIs" dxfId="162" priority="219" operator="equal">
      <formula>"SI"</formula>
    </cfRule>
  </conditionalFormatting>
  <conditionalFormatting sqref="L58">
    <cfRule type="cellIs" dxfId="161" priority="210" operator="equal">
      <formula>"NO"</formula>
    </cfRule>
    <cfRule type="cellIs" dxfId="160" priority="211" operator="equal">
      <formula>"SI"</formula>
    </cfRule>
  </conditionalFormatting>
  <conditionalFormatting sqref="L43">
    <cfRule type="cellIs" dxfId="159" priority="206" operator="equal">
      <formula>"NO"</formula>
    </cfRule>
    <cfRule type="cellIs" dxfId="158" priority="207" operator="equal">
      <formula>"SI"</formula>
    </cfRule>
  </conditionalFormatting>
  <conditionalFormatting sqref="L22">
    <cfRule type="cellIs" dxfId="157" priority="186" operator="equal">
      <formula>"NO"</formula>
    </cfRule>
    <cfRule type="cellIs" dxfId="156" priority="187" operator="equal">
      <formula>"SI"</formula>
    </cfRule>
  </conditionalFormatting>
  <conditionalFormatting sqref="L85">
    <cfRule type="cellIs" dxfId="155" priority="188" operator="equal">
      <formula>"NO"</formula>
    </cfRule>
    <cfRule type="cellIs" dxfId="154" priority="189" operator="equal">
      <formula>"SI"</formula>
    </cfRule>
  </conditionalFormatting>
  <conditionalFormatting sqref="L32">
    <cfRule type="cellIs" dxfId="153" priority="198" operator="equal">
      <formula>"NO"</formula>
    </cfRule>
    <cfRule type="cellIs" dxfId="152" priority="199" operator="equal">
      <formula>"SI"</formula>
    </cfRule>
  </conditionalFormatting>
  <conditionalFormatting sqref="L10">
    <cfRule type="cellIs" dxfId="151" priority="196" operator="equal">
      <formula>"NO"</formula>
    </cfRule>
    <cfRule type="cellIs" dxfId="150" priority="197" operator="equal">
      <formula>"SI"</formula>
    </cfRule>
  </conditionalFormatting>
  <conditionalFormatting sqref="L71">
    <cfRule type="cellIs" dxfId="149" priority="176" operator="equal">
      <formula>"NO"</formula>
    </cfRule>
    <cfRule type="cellIs" dxfId="148" priority="177" operator="equal">
      <formula>"SI"</formula>
    </cfRule>
  </conditionalFormatting>
  <conditionalFormatting sqref="L63">
    <cfRule type="cellIs" dxfId="147" priority="170" operator="equal">
      <formula>"NO"</formula>
    </cfRule>
    <cfRule type="cellIs" dxfId="146" priority="171" operator="equal">
      <formula>"SI"</formula>
    </cfRule>
  </conditionalFormatting>
  <conditionalFormatting sqref="L50">
    <cfRule type="cellIs" dxfId="145" priority="168" operator="equal">
      <formula>"NO"</formula>
    </cfRule>
    <cfRule type="cellIs" dxfId="144" priority="169" operator="equal">
      <formula>"SI"</formula>
    </cfRule>
  </conditionalFormatting>
  <conditionalFormatting sqref="N13 N5 N33 N79 N81 N39:N40 N48 N65 N53:N54 N67 N62 N72 N77 N75">
    <cfRule type="cellIs" dxfId="143" priority="165" operator="equal">
      <formula>"0/01/1900"</formula>
    </cfRule>
  </conditionalFormatting>
  <conditionalFormatting sqref="L6">
    <cfRule type="cellIs" dxfId="142" priority="163" operator="equal">
      <formula>"NO"</formula>
    </cfRule>
    <cfRule type="cellIs" dxfId="141" priority="164" operator="equal">
      <formula>"SI"</formula>
    </cfRule>
  </conditionalFormatting>
  <conditionalFormatting sqref="N6">
    <cfRule type="cellIs" dxfId="140" priority="162" operator="equal">
      <formula>"0/01/1900"</formula>
    </cfRule>
  </conditionalFormatting>
  <conditionalFormatting sqref="L29">
    <cfRule type="cellIs" dxfId="139" priority="160" operator="equal">
      <formula>"NO"</formula>
    </cfRule>
    <cfRule type="cellIs" dxfId="138" priority="161" operator="equal">
      <formula>"SI"</formula>
    </cfRule>
  </conditionalFormatting>
  <conditionalFormatting sqref="N29">
    <cfRule type="cellIs" dxfId="137" priority="159" operator="equal">
      <formula>"0/01/1900"</formula>
    </cfRule>
  </conditionalFormatting>
  <conditionalFormatting sqref="L18">
    <cfRule type="cellIs" dxfId="136" priority="157" operator="equal">
      <formula>"NO"</formula>
    </cfRule>
    <cfRule type="cellIs" dxfId="135" priority="158" operator="equal">
      <formula>"SI"</formula>
    </cfRule>
  </conditionalFormatting>
  <conditionalFormatting sqref="L30">
    <cfRule type="cellIs" dxfId="134" priority="147" operator="equal">
      <formula>"NO"</formula>
    </cfRule>
    <cfRule type="cellIs" dxfId="133" priority="148" operator="equal">
      <formula>"SI"</formula>
    </cfRule>
  </conditionalFormatting>
  <conditionalFormatting sqref="L25">
    <cfRule type="cellIs" dxfId="132" priority="145" operator="equal">
      <formula>"NO"</formula>
    </cfRule>
    <cfRule type="cellIs" dxfId="131" priority="146" operator="equal">
      <formula>"SI"</formula>
    </cfRule>
  </conditionalFormatting>
  <conditionalFormatting sqref="L44">
    <cfRule type="cellIs" dxfId="130" priority="143" operator="equal">
      <formula>"NO"</formula>
    </cfRule>
    <cfRule type="cellIs" dxfId="129" priority="144" operator="equal">
      <formula>"SI"</formula>
    </cfRule>
  </conditionalFormatting>
  <conditionalFormatting sqref="N5:N8 N65 N75 N71:N72 N21:N22 N38:N40 N43:N44 N48 N50 N58 N62:N63 N29:N30 N67 N25 N52:N54 N81 N77 N79 N90:N215 N85:N87 N32:N33 N10:N18">
    <cfRule type="cellIs" dxfId="128" priority="142" operator="equal">
      <formula>0</formula>
    </cfRule>
  </conditionalFormatting>
  <conditionalFormatting sqref="L69">
    <cfRule type="cellIs" dxfId="127" priority="140" operator="equal">
      <formula>"NO"</formula>
    </cfRule>
    <cfRule type="cellIs" dxfId="126" priority="141" operator="equal">
      <formula>"SI"</formula>
    </cfRule>
  </conditionalFormatting>
  <conditionalFormatting sqref="N69">
    <cfRule type="cellIs" dxfId="125" priority="139" operator="equal">
      <formula>0</formula>
    </cfRule>
  </conditionalFormatting>
  <conditionalFormatting sqref="L73">
    <cfRule type="cellIs" dxfId="124" priority="137" operator="equal">
      <formula>"NO"</formula>
    </cfRule>
    <cfRule type="cellIs" dxfId="123" priority="138" operator="equal">
      <formula>"SI"</formula>
    </cfRule>
  </conditionalFormatting>
  <conditionalFormatting sqref="N73">
    <cfRule type="cellIs" dxfId="122" priority="136" operator="equal">
      <formula>0</formula>
    </cfRule>
  </conditionalFormatting>
  <conditionalFormatting sqref="L74">
    <cfRule type="cellIs" dxfId="121" priority="134" operator="equal">
      <formula>"NO"</formula>
    </cfRule>
    <cfRule type="cellIs" dxfId="120" priority="135" operator="equal">
      <formula>"SI"</formula>
    </cfRule>
  </conditionalFormatting>
  <conditionalFormatting sqref="N74">
    <cfRule type="cellIs" dxfId="119" priority="133" operator="equal">
      <formula>0</formula>
    </cfRule>
  </conditionalFormatting>
  <conditionalFormatting sqref="L82">
    <cfRule type="cellIs" dxfId="118" priority="131" operator="equal">
      <formula>"NO"</formula>
    </cfRule>
    <cfRule type="cellIs" dxfId="117" priority="132" operator="equal">
      <formula>"SI"</formula>
    </cfRule>
  </conditionalFormatting>
  <conditionalFormatting sqref="N82">
    <cfRule type="cellIs" dxfId="116" priority="130" operator="equal">
      <formula>0</formula>
    </cfRule>
  </conditionalFormatting>
  <conditionalFormatting sqref="L55">
    <cfRule type="cellIs" dxfId="115" priority="128" operator="equal">
      <formula>"NO"</formula>
    </cfRule>
    <cfRule type="cellIs" dxfId="114" priority="129" operator="equal">
      <formula>"SI"</formula>
    </cfRule>
  </conditionalFormatting>
  <conditionalFormatting sqref="N55">
    <cfRule type="cellIs" dxfId="113" priority="127" operator="equal">
      <formula>0</formula>
    </cfRule>
  </conditionalFormatting>
  <conditionalFormatting sqref="L64">
    <cfRule type="cellIs" dxfId="112" priority="125" operator="equal">
      <formula>"NO"</formula>
    </cfRule>
    <cfRule type="cellIs" dxfId="111" priority="126" operator="equal">
      <formula>"SI"</formula>
    </cfRule>
  </conditionalFormatting>
  <conditionalFormatting sqref="N64">
    <cfRule type="cellIs" dxfId="110" priority="124" operator="equal">
      <formula>0</formula>
    </cfRule>
  </conditionalFormatting>
  <conditionalFormatting sqref="L45">
    <cfRule type="cellIs" dxfId="109" priority="122" operator="equal">
      <formula>"NO"</formula>
    </cfRule>
    <cfRule type="cellIs" dxfId="108" priority="123" operator="equal">
      <formula>"SI"</formula>
    </cfRule>
  </conditionalFormatting>
  <conditionalFormatting sqref="N45">
    <cfRule type="cellIs" dxfId="107" priority="121" operator="equal">
      <formula>0</formula>
    </cfRule>
  </conditionalFormatting>
  <conditionalFormatting sqref="L35">
    <cfRule type="cellIs" dxfId="106" priority="119" operator="equal">
      <formula>"NO"</formula>
    </cfRule>
    <cfRule type="cellIs" dxfId="105" priority="120" operator="equal">
      <formula>"SI"</formula>
    </cfRule>
  </conditionalFormatting>
  <conditionalFormatting sqref="N35">
    <cfRule type="cellIs" dxfId="104" priority="118" operator="equal">
      <formula>0</formula>
    </cfRule>
  </conditionalFormatting>
  <conditionalFormatting sqref="L19">
    <cfRule type="cellIs" dxfId="103" priority="116" operator="equal">
      <formula>"NO"</formula>
    </cfRule>
    <cfRule type="cellIs" dxfId="102" priority="117" operator="equal">
      <formula>"SI"</formula>
    </cfRule>
  </conditionalFormatting>
  <conditionalFormatting sqref="N19">
    <cfRule type="cellIs" dxfId="101" priority="115" operator="equal">
      <formula>0</formula>
    </cfRule>
  </conditionalFormatting>
  <conditionalFormatting sqref="L20">
    <cfRule type="cellIs" dxfId="100" priority="113" operator="equal">
      <formula>"NO"</formula>
    </cfRule>
    <cfRule type="cellIs" dxfId="99" priority="114" operator="equal">
      <formula>"SI"</formula>
    </cfRule>
  </conditionalFormatting>
  <conditionalFormatting sqref="N20">
    <cfRule type="cellIs" dxfId="98" priority="112" operator="equal">
      <formula>0</formula>
    </cfRule>
  </conditionalFormatting>
  <conditionalFormatting sqref="L37">
    <cfRule type="cellIs" dxfId="97" priority="110" operator="equal">
      <formula>"NO"</formula>
    </cfRule>
    <cfRule type="cellIs" dxfId="96" priority="111" operator="equal">
      <formula>"SI"</formula>
    </cfRule>
  </conditionalFormatting>
  <conditionalFormatting sqref="N37">
    <cfRule type="cellIs" dxfId="95" priority="109" operator="equal">
      <formula>0</formula>
    </cfRule>
  </conditionalFormatting>
  <conditionalFormatting sqref="L41">
    <cfRule type="cellIs" dxfId="94" priority="107" operator="equal">
      <formula>"NO"</formula>
    </cfRule>
    <cfRule type="cellIs" dxfId="93" priority="108" operator="equal">
      <formula>"SI"</formula>
    </cfRule>
  </conditionalFormatting>
  <conditionalFormatting sqref="N41">
    <cfRule type="cellIs" dxfId="92" priority="106" operator="equal">
      <formula>0</formula>
    </cfRule>
  </conditionalFormatting>
  <conditionalFormatting sqref="L47">
    <cfRule type="cellIs" dxfId="91" priority="104" operator="equal">
      <formula>"NO"</formula>
    </cfRule>
    <cfRule type="cellIs" dxfId="90" priority="105" operator="equal">
      <formula>"SI"</formula>
    </cfRule>
  </conditionalFormatting>
  <conditionalFormatting sqref="N47">
    <cfRule type="cellIs" dxfId="89" priority="103" operator="equal">
      <formula>0</formula>
    </cfRule>
  </conditionalFormatting>
  <conditionalFormatting sqref="L49">
    <cfRule type="cellIs" dxfId="88" priority="101" operator="equal">
      <formula>"NO"</formula>
    </cfRule>
    <cfRule type="cellIs" dxfId="87" priority="102" operator="equal">
      <formula>"SI"</formula>
    </cfRule>
  </conditionalFormatting>
  <conditionalFormatting sqref="N49">
    <cfRule type="cellIs" dxfId="86" priority="100" operator="equal">
      <formula>0</formula>
    </cfRule>
  </conditionalFormatting>
  <conditionalFormatting sqref="L57">
    <cfRule type="cellIs" dxfId="85" priority="98" operator="equal">
      <formula>"NO"</formula>
    </cfRule>
    <cfRule type="cellIs" dxfId="84" priority="99" operator="equal">
      <formula>"SI"</formula>
    </cfRule>
  </conditionalFormatting>
  <conditionalFormatting sqref="N57">
    <cfRule type="cellIs" dxfId="83" priority="97" operator="equal">
      <formula>0</formula>
    </cfRule>
  </conditionalFormatting>
  <conditionalFormatting sqref="L59">
    <cfRule type="cellIs" dxfId="82" priority="95" operator="equal">
      <formula>"NO"</formula>
    </cfRule>
    <cfRule type="cellIs" dxfId="81" priority="96" operator="equal">
      <formula>"SI"</formula>
    </cfRule>
  </conditionalFormatting>
  <conditionalFormatting sqref="N59">
    <cfRule type="cellIs" dxfId="80" priority="94" operator="equal">
      <formula>0</formula>
    </cfRule>
  </conditionalFormatting>
  <conditionalFormatting sqref="L60">
    <cfRule type="cellIs" dxfId="79" priority="92" operator="equal">
      <formula>"NO"</formula>
    </cfRule>
    <cfRule type="cellIs" dxfId="78" priority="93" operator="equal">
      <formula>"SI"</formula>
    </cfRule>
  </conditionalFormatting>
  <conditionalFormatting sqref="N60">
    <cfRule type="cellIs" dxfId="77" priority="91" operator="equal">
      <formula>0</formula>
    </cfRule>
  </conditionalFormatting>
  <conditionalFormatting sqref="L61">
    <cfRule type="cellIs" dxfId="76" priority="89" operator="equal">
      <formula>"NO"</formula>
    </cfRule>
    <cfRule type="cellIs" dxfId="75" priority="90" operator="equal">
      <formula>"SI"</formula>
    </cfRule>
  </conditionalFormatting>
  <conditionalFormatting sqref="N61">
    <cfRule type="cellIs" dxfId="74" priority="88" operator="equal">
      <formula>0</formula>
    </cfRule>
  </conditionalFormatting>
  <conditionalFormatting sqref="L83">
    <cfRule type="cellIs" dxfId="73" priority="86" operator="equal">
      <formula>"NO"</formula>
    </cfRule>
    <cfRule type="cellIs" dxfId="72" priority="87" operator="equal">
      <formula>"SI"</formula>
    </cfRule>
  </conditionalFormatting>
  <conditionalFormatting sqref="N83">
    <cfRule type="cellIs" dxfId="71" priority="85" operator="equal">
      <formula>0</formula>
    </cfRule>
  </conditionalFormatting>
  <conditionalFormatting sqref="L26">
    <cfRule type="cellIs" dxfId="70" priority="74" operator="equal">
      <formula>"NO"</formula>
    </cfRule>
    <cfRule type="cellIs" dxfId="69" priority="75" operator="equal">
      <formula>"SI"</formula>
    </cfRule>
  </conditionalFormatting>
  <conditionalFormatting sqref="N26">
    <cfRule type="cellIs" dxfId="68" priority="73" operator="equal">
      <formula>0</formula>
    </cfRule>
  </conditionalFormatting>
  <conditionalFormatting sqref="L66">
    <cfRule type="cellIs" dxfId="67" priority="71" operator="equal">
      <formula>"NO"</formula>
    </cfRule>
    <cfRule type="cellIs" dxfId="66" priority="72" operator="equal">
      <formula>"SI"</formula>
    </cfRule>
  </conditionalFormatting>
  <conditionalFormatting sqref="N66">
    <cfRule type="cellIs" dxfId="65" priority="70" operator="equal">
      <formula>0</formula>
    </cfRule>
  </conditionalFormatting>
  <conditionalFormatting sqref="L68">
    <cfRule type="cellIs" dxfId="64" priority="68" operator="equal">
      <formula>"NO"</formula>
    </cfRule>
    <cfRule type="cellIs" dxfId="63" priority="69" operator="equal">
      <formula>"SI"</formula>
    </cfRule>
  </conditionalFormatting>
  <conditionalFormatting sqref="N68">
    <cfRule type="cellIs" dxfId="62" priority="67" operator="equal">
      <formula>0</formula>
    </cfRule>
  </conditionalFormatting>
  <conditionalFormatting sqref="L24">
    <cfRule type="cellIs" dxfId="61" priority="65" operator="equal">
      <formula>"NO"</formula>
    </cfRule>
    <cfRule type="cellIs" dxfId="60" priority="66" operator="equal">
      <formula>"SI"</formula>
    </cfRule>
  </conditionalFormatting>
  <conditionalFormatting sqref="N24">
    <cfRule type="cellIs" dxfId="59" priority="64" operator="equal">
      <formula>0</formula>
    </cfRule>
  </conditionalFormatting>
  <conditionalFormatting sqref="L34">
    <cfRule type="cellIs" dxfId="58" priority="62" operator="equal">
      <formula>"NO"</formula>
    </cfRule>
    <cfRule type="cellIs" dxfId="57" priority="63" operator="equal">
      <formula>"SI"</formula>
    </cfRule>
  </conditionalFormatting>
  <conditionalFormatting sqref="N34">
    <cfRule type="cellIs" dxfId="56" priority="61" operator="equal">
      <formula>0</formula>
    </cfRule>
  </conditionalFormatting>
  <conditionalFormatting sqref="L51">
    <cfRule type="cellIs" dxfId="55" priority="59" operator="equal">
      <formula>"NO"</formula>
    </cfRule>
    <cfRule type="cellIs" dxfId="54" priority="60" operator="equal">
      <formula>"SI"</formula>
    </cfRule>
  </conditionalFormatting>
  <conditionalFormatting sqref="N51">
    <cfRule type="cellIs" dxfId="53" priority="58" operator="equal">
      <formula>0</formula>
    </cfRule>
  </conditionalFormatting>
  <conditionalFormatting sqref="L80">
    <cfRule type="cellIs" dxfId="52" priority="56" operator="equal">
      <formula>"NO"</formula>
    </cfRule>
    <cfRule type="cellIs" dxfId="51" priority="57" operator="equal">
      <formula>"SI"</formula>
    </cfRule>
  </conditionalFormatting>
  <conditionalFormatting sqref="N80">
    <cfRule type="cellIs" dxfId="50" priority="55" operator="equal">
      <formula>0</formula>
    </cfRule>
  </conditionalFormatting>
  <conditionalFormatting sqref="L27">
    <cfRule type="cellIs" dxfId="49" priority="53" operator="equal">
      <formula>"NO"</formula>
    </cfRule>
    <cfRule type="cellIs" dxfId="48" priority="54" operator="equal">
      <formula>"SI"</formula>
    </cfRule>
  </conditionalFormatting>
  <conditionalFormatting sqref="N27">
    <cfRule type="cellIs" dxfId="47" priority="52" operator="equal">
      <formula>0</formula>
    </cfRule>
  </conditionalFormatting>
  <conditionalFormatting sqref="L28">
    <cfRule type="cellIs" dxfId="46" priority="50" operator="equal">
      <formula>"NO"</formula>
    </cfRule>
    <cfRule type="cellIs" dxfId="45" priority="51" operator="equal">
      <formula>"SI"</formula>
    </cfRule>
  </conditionalFormatting>
  <conditionalFormatting sqref="N28">
    <cfRule type="cellIs" dxfId="44" priority="49" operator="equal">
      <formula>0</formula>
    </cfRule>
  </conditionalFormatting>
  <conditionalFormatting sqref="L36">
    <cfRule type="cellIs" dxfId="43" priority="47" operator="equal">
      <formula>"NO"</formula>
    </cfRule>
    <cfRule type="cellIs" dxfId="42" priority="48" operator="equal">
      <formula>"SI"</formula>
    </cfRule>
  </conditionalFormatting>
  <conditionalFormatting sqref="N36">
    <cfRule type="cellIs" dxfId="41" priority="46" operator="equal">
      <formula>0</formula>
    </cfRule>
  </conditionalFormatting>
  <conditionalFormatting sqref="L56">
    <cfRule type="cellIs" dxfId="40" priority="44" operator="equal">
      <formula>"NO"</formula>
    </cfRule>
    <cfRule type="cellIs" dxfId="39" priority="45" operator="equal">
      <formula>"SI"</formula>
    </cfRule>
  </conditionalFormatting>
  <conditionalFormatting sqref="N56">
    <cfRule type="cellIs" dxfId="38" priority="43" operator="equal">
      <formula>0</formula>
    </cfRule>
  </conditionalFormatting>
  <conditionalFormatting sqref="L70">
    <cfRule type="cellIs" dxfId="37" priority="41" operator="equal">
      <formula>"NO"</formula>
    </cfRule>
    <cfRule type="cellIs" dxfId="36" priority="42" operator="equal">
      <formula>"SI"</formula>
    </cfRule>
  </conditionalFormatting>
  <conditionalFormatting sqref="N70">
    <cfRule type="cellIs" dxfId="35" priority="40" operator="equal">
      <formula>0</formula>
    </cfRule>
  </conditionalFormatting>
  <conditionalFormatting sqref="L76">
    <cfRule type="cellIs" dxfId="34" priority="38" operator="equal">
      <formula>"NO"</formula>
    </cfRule>
    <cfRule type="cellIs" dxfId="33" priority="39" operator="equal">
      <formula>"SI"</formula>
    </cfRule>
  </conditionalFormatting>
  <conditionalFormatting sqref="N76">
    <cfRule type="cellIs" dxfId="32" priority="37" operator="equal">
      <formula>0</formula>
    </cfRule>
  </conditionalFormatting>
  <conditionalFormatting sqref="L84">
    <cfRule type="cellIs" dxfId="31" priority="35" operator="equal">
      <formula>"NO"</formula>
    </cfRule>
    <cfRule type="cellIs" dxfId="30" priority="36" operator="equal">
      <formula>"SI"</formula>
    </cfRule>
  </conditionalFormatting>
  <conditionalFormatting sqref="N84">
    <cfRule type="cellIs" dxfId="29" priority="34" operator="equal">
      <formula>0</formula>
    </cfRule>
  </conditionalFormatting>
  <conditionalFormatting sqref="L78">
    <cfRule type="cellIs" dxfId="28" priority="32" operator="equal">
      <formula>"NO"</formula>
    </cfRule>
    <cfRule type="cellIs" dxfId="27" priority="33" operator="equal">
      <formula>"SI"</formula>
    </cfRule>
  </conditionalFormatting>
  <conditionalFormatting sqref="N78">
    <cfRule type="cellIs" dxfId="26" priority="31" operator="equal">
      <formula>0</formula>
    </cfRule>
  </conditionalFormatting>
  <conditionalFormatting sqref="L89">
    <cfRule type="cellIs" dxfId="25" priority="29" operator="equal">
      <formula>"NO"</formula>
    </cfRule>
    <cfRule type="cellIs" dxfId="24" priority="30" operator="equal">
      <formula>"SI"</formula>
    </cfRule>
  </conditionalFormatting>
  <conditionalFormatting sqref="N89">
    <cfRule type="cellIs" dxfId="23" priority="28" operator="equal">
      <formula>0</formula>
    </cfRule>
  </conditionalFormatting>
  <conditionalFormatting sqref="L88">
    <cfRule type="cellIs" dxfId="22" priority="26" operator="equal">
      <formula>"NO"</formula>
    </cfRule>
    <cfRule type="cellIs" dxfId="21" priority="27" operator="equal">
      <formula>"SI"</formula>
    </cfRule>
  </conditionalFormatting>
  <conditionalFormatting sqref="N88">
    <cfRule type="cellIs" dxfId="20" priority="25" operator="equal">
      <formula>0</formula>
    </cfRule>
  </conditionalFormatting>
  <conditionalFormatting sqref="L9">
    <cfRule type="cellIs" dxfId="19" priority="14" operator="equal">
      <formula>"NO"</formula>
    </cfRule>
    <cfRule type="cellIs" dxfId="18" priority="15" operator="equal">
      <formula>"SI"</formula>
    </cfRule>
  </conditionalFormatting>
  <conditionalFormatting sqref="N9">
    <cfRule type="cellIs" dxfId="17" priority="13" operator="equal">
      <formula>0</formula>
    </cfRule>
  </conditionalFormatting>
  <conditionalFormatting sqref="L23">
    <cfRule type="cellIs" dxfId="16" priority="11" operator="equal">
      <formula>"NO"</formula>
    </cfRule>
    <cfRule type="cellIs" dxfId="15" priority="12" operator="equal">
      <formula>"SI"</formula>
    </cfRule>
  </conditionalFormatting>
  <conditionalFormatting sqref="N23">
    <cfRule type="cellIs" dxfId="14" priority="10" operator="equal">
      <formula>0</formula>
    </cfRule>
  </conditionalFormatting>
  <conditionalFormatting sqref="L31">
    <cfRule type="cellIs" dxfId="13" priority="8" operator="equal">
      <formula>"NO"</formula>
    </cfRule>
    <cfRule type="cellIs" dxfId="12" priority="9" operator="equal">
      <formula>"SI"</formula>
    </cfRule>
  </conditionalFormatting>
  <conditionalFormatting sqref="N31">
    <cfRule type="cellIs" dxfId="11" priority="7" operator="equal">
      <formula>0</formula>
    </cfRule>
  </conditionalFormatting>
  <conditionalFormatting sqref="L42">
    <cfRule type="cellIs" dxfId="10" priority="5" operator="equal">
      <formula>"NO"</formula>
    </cfRule>
    <cfRule type="cellIs" dxfId="9" priority="6" operator="equal">
      <formula>"SI"</formula>
    </cfRule>
  </conditionalFormatting>
  <conditionalFormatting sqref="N42">
    <cfRule type="cellIs" dxfId="8" priority="4" operator="equal">
      <formula>0</formula>
    </cfRule>
  </conditionalFormatting>
  <conditionalFormatting sqref="L46">
    <cfRule type="cellIs" dxfId="7" priority="2" operator="equal">
      <formula>"NO"</formula>
    </cfRule>
    <cfRule type="cellIs" dxfId="6" priority="3" operator="equal">
      <formula>"SI"</formula>
    </cfRule>
  </conditionalFormatting>
  <conditionalFormatting sqref="N46">
    <cfRule type="cellIs" dxfId="5" priority="1" operator="equal">
      <formula>0</formula>
    </cfRule>
  </conditionalFormatting>
  <dataValidations count="1">
    <dataValidation type="list" allowBlank="1" showInputMessage="1" showErrorMessage="1" sqref="B5:B215">
      <formula1>"2019,2020,2021,2022,2023,2024"</formula1>
    </dataValidation>
  </dataValidations>
  <hyperlinks>
    <hyperlink ref="I13" r:id="rId1" display="PROCESO GESTIÓN FINANCIERA\INFORME GESTIÓN FINANCIERA 2019 - 11122019.pdf"/>
    <hyperlink ref="I5" r:id="rId2" display="PROCESO GESTIÓN FINANCIERA\INFORME CAJAS MENORES 2019 - 20022019.pdf"/>
    <hyperlink ref="I33" r:id="rId3" display="PROCESO GESTIÓN FINANCIERA\INFORME GESTIÓN FINANCIERA 2020 - 22122020.pdf"/>
    <hyperlink ref="I39" r:id="rId4" display="PROCESO GESTIÓN FINANCIERA\INFORME CUADRE DE CAJA 2021-1 - 11062021.pdf"/>
    <hyperlink ref="I48" r:id="rId5" display="PROCESO GESTIÓN FINANCIERA\INFORME CUADRE DE CAJA 2021-2 - 29102021.pdf"/>
    <hyperlink ref="I40" r:id="rId6" display="PROCESO GESTIÓN FINANCIERA\INFORME FACTURACIÓN, CARTERA, GLOSAS 2021 - 30062021.pdf"/>
    <hyperlink ref="I54" r:id="rId7" display="PROCESO GESTIÓN FINANCIERA\INFORME CUADRE DE CAJA 2022-1 - 25012022.pdf"/>
    <hyperlink ref="I65" r:id="rId8" display="PROCESO GESTIÓN FINANCIERA\INFORME CUADRE DE CAJA 2022-2 - 03112022.pdf"/>
    <hyperlink ref="I62" r:id="rId9" display="PROCESO GESTIÓN FINANCIERA\INFORME CAJAS MENORES 2022- 20092022.pdf"/>
    <hyperlink ref="I67" r:id="rId10" display="PROCESO GESTIÓN FINANCIERA\INFORME CUADRE DE CAJA 2023-1 - 27022023.pdf"/>
    <hyperlink ref="I77" r:id="rId11" display="PROCESO GESTIÓN FINANCIERA\INFORME CUADRE DE CAJA 2023-2 - 19072023.pdf"/>
    <hyperlink ref="I75" r:id="rId12" display="PROCESO GESTIÓN FINANCIERA\INFORME CAJAS MENORES 2023 - 12072023.pdf"/>
    <hyperlink ref="I79" r:id="rId13" display="PROCESO GESTIÓN FINANCIERA\INFORME FACTURACIÓN, CARTERA, GLOSAS 2023 - 29082023.pdf"/>
    <hyperlink ref="I53" r:id="rId14" display="PROCESO GESTIÓN FINANCIERA\INFORME GESTIÓN FINANCIERA 2021 - 09022022.pdf"/>
    <hyperlink ref="I7" r:id="rId15" display="PROCESO GESTIÓN VENTA DE SERVICIOS\INFORME GESTIÓN VENTA DE SERVICIOS 2019 - 05082019.pdf"/>
    <hyperlink ref="I27" r:id="rId16" display="PROCESO GESTIÓN VENTA DE SERVICIOS\INFORME GESTIÓN VENTA DE SERVICIOS 2020 - 20102020.pdf"/>
    <hyperlink ref="I70" r:id="rId17" display="PROCESO GESTIÓN VENTA DE SERVICIOS\INFORME GESTIÓN VENTA DE SERVICIOS 2023 - 28032023.pdf"/>
    <hyperlink ref="I15" r:id="rId18" display="PROCESO GESTIÓN DOCUMENTAL\INFORME GESTIÓN DOCUMENTAL 2019 - 12122019.pdf"/>
    <hyperlink ref="I11" r:id="rId19" display="PROCESO GESTIÓN JURÍDICA\INFORME GESTIÓN JURÍDICA 2019 - 22112019.pdf"/>
    <hyperlink ref="I6" r:id="rId20" display="PROCESO ATENCIÓN QUIRÚRGICA\INFORME ATENCION QUIRURGICA 2019 - 28052019 .pdf"/>
    <hyperlink ref="I8" r:id="rId21" display="PROCESO ATENCIÓN EN URGENCIAS\INFORME ATENCION EN URGENCIAS 2019 - 15082019.pdf"/>
    <hyperlink ref="I9" r:id="rId22" display="PROCESO ATENCIÓN EN HOSPITALIZACIÓN\INFORME ATENCIÓN EN HOSPITALIZACIÓN 2019 - 19092019.pdf"/>
    <hyperlink ref="I10" r:id="rId23" display="PROCESO GESTIÓN SERVICIO FARMACÉUTICO\INFORME GESTIÓN SERVICIO FARMACÉUTICO 2019 - 24102019.pdf"/>
    <hyperlink ref="I12" r:id="rId24" display="PROCESO ATENCIÓN EN LABORATORIO CLÍNICO\INFORME ATENCIÓN EN LABORATORIO CLÍNICO 2019 - 02122019.pdf"/>
    <hyperlink ref="I16" r:id="rId25" display="PROCESO ATENCIÓN AMBULATORIA\INFORME ATENCIÓN AMBULATORIA 2019 - 19122019.pdf"/>
    <hyperlink ref="I17" r:id="rId26" display="PROCESO ATENCIÓN EN P Y P\INFORME ATENCIÓN EN PROMOCIÓN Y PREVENCIÓN 2019 - 19122019.pdf"/>
    <hyperlink ref="I14" r:id="rId27" display="PROCESO GESTIÓN LOGÍSTICA\INFORME CONTROL DE INVENTARIO 2019 - 12122019.pdf"/>
    <hyperlink ref="I45" r:id="rId28" display="PROCESO GESTIÓN DOCUMENTAL\INFORME MANEJO DE ARCHIVO CLÍNICO 2021 - 17092021.pdf"/>
    <hyperlink ref="I19" r:id="rId29" display="PROCESO GESTIÓN LOGÍSTICA\INFORME CONTROL DE INVENTARIO DE BIENES 2020 - 20052020.pdf"/>
    <hyperlink ref="I18" r:id="rId30" display="PROCESO ATENCIÓN EN URGENCIAS\INFORME ATENCION EN URGENCIAS 2020 - 06042020.pdf"/>
    <hyperlink ref="I22" r:id="rId31" display="PROCESO GESTIÓN TALENTO HUMANO\INFORME PAGO DE NÓMINA CONDUCTORES AMBULANCIA 2020 - 27072020.pdf"/>
    <hyperlink ref="I21" r:id="rId32" display="PROCESO ATENCIÓN EN IMÁGENES DIAGNÓSTICAS\INFORME ATENCIÓN EN IMÁGENES DIAGNÓST 2020 - 16072020.pdf"/>
    <hyperlink ref="I23" r:id="rId33" display="PROCESO ATENCIÓN EN HOSPITALIZACIÓN\INFORME CONSENTIMIENTO INFORMADO 2020 - 07092020.pdf"/>
    <hyperlink ref="I30" r:id="rId34" display="PROCESO ATENCIÓN EN LABORATORIO CLÍNICO\INFORME ATENCIÓN EN LABORATORIO CLÍNICO 2020 - 06112020.pdf"/>
    <hyperlink ref="I25" r:id="rId35" display="PROCESO ATENCIÓN EN P Y P\INFORME ATENCIÓN EN PROMOCIÓN Y PREVENCIÓN 2020 - 24092020.pdf"/>
    <hyperlink ref="I26" r:id="rId36" display="PROCESO GESTIÓN SERVICIO FARMACÉUTICO\INFORME GESTIÓN SERVICIO FARMACÉUTICO 2020 - 20102020.pdf"/>
    <hyperlink ref="I29" r:id="rId37" display="PROCESO ATENCIÓN QUIRÚRGICA\INFORME ATENCION QUIRURGICA 2020 - 29102020.pdf"/>
    <hyperlink ref="I24" r:id="rId38" display="PROCESO GESTIÓN TALENTO HUMANO\INFORME GESTIÓN TALENTO HUMANO PROGRAMA DE VIVIENDA 2020 - 11092020.pdf"/>
    <hyperlink ref="I32" r:id="rId39" display="PROCESO GESTIÓN DOCENCIA SERVICIO\INFORME GESTIÓN DOCENCIA SERVICIO 2020 - 30112020.pdf"/>
    <hyperlink ref="I31" r:id="rId40" display="PROCESO ATENCIÓN EN HOSPITALIZACIÓN\INFORME ATENCIÓN EN HOSPITALIZACIÓN 2020 - 26112020.pdf"/>
    <hyperlink ref="I34" r:id="rId41" display="PROCESO GESTIÓN TALENTO HUMANO\INFORME GESTIÓN CUADRO DE TURNOS 2021 - 12032021.pdf"/>
    <hyperlink ref="I35" r:id="rId42" display="PROCESO GESTIÓN JURÍDICA\INFORME GESTION JURIDICA 2021 - 06042021.pdf"/>
    <hyperlink ref="I37" r:id="rId43" display="PROCESO GESTIÓN LOGÍSTICA\INFORME CONTROL DE INVENTARIO - LEGALIZACIÓN DONACIONES 2021 - 26052021.pdf"/>
    <hyperlink ref="I42" r:id="rId44" display="PROCESO ATENCIÓN EN HOSPITALIZACIÓN\INFORME ATENCIÓN EN HOSPITALIZACIÓN 2021 - 12082021.pdf"/>
    <hyperlink ref="I44" r:id="rId45" display="PROCESO ATENCIÓN EN P Y P\INFORME CICLO DE ATENCIÓN MATERNO PERINATAL 2021 - 06092021.pdf"/>
    <hyperlink ref="I41" r:id="rId46" display="PROCESO GESTIÓN LOGÍSTICA\INFORME SEGURIDAD HOSPITALARIA SERVICIOS DE URGENCIAS 2021 - 03082021.pdf"/>
    <hyperlink ref="I47" r:id="rId47" display="PROCESO GESTIÓN LOGÍSTICA\INFORME MANTENIMIENTO DE BIENES - EQUIPOS BIOMEDICOS 2021 - 21102021.pdf"/>
    <hyperlink ref="I50" r:id="rId48" display="SIN PROCESO - REFERENCIA Y CONTRARREFERENCIA\INFORME REFERENCIA Y CONTRARREFERENCIA 2021 - 03112021 .pdf"/>
    <hyperlink ref="I46" r:id="rId49" display="PROCESO ATENCIÓN EN HOSPITALIZACIÓN\INFORME GESTIÓN DE CAMAS 2021 - 05102021.pdf"/>
    <hyperlink ref="I49" r:id="rId50" display="PROCESO GESTIÓN LOGÍSTICA\INFORME CONTROL DE INVENTARIO 2021 - 30102021.pdf"/>
    <hyperlink ref="I51" r:id="rId51" display="PROCESO GESTIÓN TALENTO HUMANO\INFORME GESTIÓN TALENTO HUMANO 2021 - 09112021.pdf"/>
    <hyperlink ref="I57" r:id="rId52" display="PROCESO GESTIÓN LOGÍSTICA\INFORME MANTENIMIENTO DE BIENES - EQUIPOS BIOMÉDICOS 2022 - 28032022.pdf"/>
    <hyperlink ref="I66" r:id="rId53" display="PROCESO GESTIÓN SERVICIO FARMACÉUTICO\INFORME GESTION MEDICAMENTOS CONTROL ESPECIAL 2022 - 25112022.pdf"/>
    <hyperlink ref="I68" r:id="rId54" display="PROCESO GESTIÓN SERVICIO FARMACÉUTICO\INFORME GESTIÓN SERVICIO FARMACÉUTICO 2023 - 07032023.pdf"/>
    <hyperlink ref="I71" r:id="rId55" display="SIN PROCESO - AUDITORÍAS INTEGRALES\INFORME AUDITORIA INTEGRAL UPSS 1 SEGUIMIENTO PLAN SUPERSALUD 2023 - 25042023 ANEXO.pdf"/>
    <hyperlink ref="I72" r:id="rId56" display="PROCESO GESTIÓN FINANCIERA\INFORME GESTIÓN FINANCIERA TESORERIA 2023 - 03052023.pdf"/>
    <hyperlink ref="I76" r:id="rId57" display="SIN PROCESO - AUDITORÍAS INTEGRALES\INFORME AUDITORÍA INTEGRAL UPSS 2 2023- 18072023.pdf"/>
    <hyperlink ref="I78" r:id="rId58" display="SIN PROCESO - REFERENCIA Y CONTRARREFERENCIA\INFORME REFERENCIA Y CONTRARREFERENCIA 2023 - 16082023.pdf"/>
    <hyperlink ref="I80" r:id="rId59" display="PROCESO GESTIÓN TALENTO HUMANO\INFORME GESTIÓN TALENTO HUMANO 2023 - 09102023.pdf"/>
    <hyperlink ref="I20" r:id="rId60" display="PROCESO GESTIÓN LOGÍSTICA\INFORME CONTRATO INTERMEDIACIÓN DE SEGUROS 2020 - 02072020.pdf"/>
    <hyperlink ref="I60" r:id="rId61" display="PROCESO GESTIÓN LOGÍSTICA\INFORME INSTRUCTIVO LEGALIZACIÓN DE DONACIONES 2022 - 16062022 .pdf"/>
    <hyperlink ref="I59" r:id="rId62" display="PROCESO GESTIÓN LOGÍSTICA\INFORME GESTIÓN DE BIENES MUEBLES 2022- 03062022.pdf"/>
    <hyperlink ref="I61" r:id="rId63" display="PROCESO GESTIÓN LOGÍSTICA\INFORME ASEGURAMIENTO DE BIENES MUEBLES 2022 - 10082022.pdf"/>
    <hyperlink ref="I84" r:id="rId64" display="SIN PROCESO - AUDITORÍAS INTEGRALES\INFORME AUDITORÍA INTEGRAL UPSS 3 2023 - NUEVO OCCIDENTE 30102023.pdf"/>
    <hyperlink ref="I73" r:id="rId65" display="PROCESO GESTIÓN DE LA CONTRATACIÓN\INFORME CONTRATACION BIENES Y SERVICIOS 2023-1 - 20062023.pdf"/>
    <hyperlink ref="I74" r:id="rId66" display="PROCESO GESTIÓN DE LA CONTRATACIÓN\INFORME CONTRATACION BIENES Y SERVICIOS 2023-2 - 05072023.pdf"/>
    <hyperlink ref="I82" r:id="rId67" display="PROCESO GESTIÓN DE LA CONTRATACIÓN\INFORME CONTRATACION BIENES Y SERVICIOS 2023-3 - 09112023.pdf"/>
    <hyperlink ref="I43" r:id="rId68" display="PROCESO GESTIÓN DE LA CONTRATACIÓN\INFORME CONTRATACION ADQUISICIÓN DE SERVICIOS 2021 - 06092021.pdf"/>
    <hyperlink ref="I52" r:id="rId69" display="PROCESO GESTIÓN SALUD PÚBLICA Y TERRITORIAL\INFORME LIQUIDACIÓN CONVENIOS INTERADMINISTRATIVOS 2021 - 29122021.pdf"/>
    <hyperlink ref="I55" r:id="rId70" display="PROCESO GESTIÓN SALUD PÚBLICA Y TERRITORIAL\INFORME CONDICIONES ALMACENAMIENTO PROYECTOS SALUD PÚBLICA 2022 - 16032022.pdf"/>
    <hyperlink ref="I64" r:id="rId71" display="PROCESO GESTIÓN SALUD PÚBLICA Y TERRITORIAL\INFORME PROYECTOS SALUD PUBLICA - MAITE 2022 - 06102022.pdf"/>
    <hyperlink ref="I28" r:id="rId72" display="PROCESO GESTIÓN VENTA DE SERVICIOS\INFORME EVALUACIÓN SUPERVISIÓN CONTRATOS 2020 - 20102020.pdf"/>
    <hyperlink ref="I36" r:id="rId73" display="PROCESO GESTIÓN VENTA DE SERVICIOS\INFORME CONTRATACIÓN PRESTACIÓN DE SERVICIOS 2021 - 18052021.pdf"/>
    <hyperlink ref="I56" r:id="rId74" display="PROCESO GESTIÓN VENTA DE SERVICIOS\INFORME SUPERVISIÓN CONTRATOS VIGENCIA 2022 - 17032022.pdf"/>
    <hyperlink ref="I81" r:id="rId75" display="PROCESO GESTIÓN FINANCIERA\INFORME GESTIÓN FINANCIERA PRESUPUESTO 2023 - 26102023.pdf"/>
    <hyperlink ref="I58" r:id="rId76" display="PROCESO DIRECCIONAMIENTO Y PLANEACIÓN\INFORME PAMEC 2022 - 24052022.pdf"/>
    <hyperlink ref="I69" r:id="rId77" display="PROCESO DIRECCIONAMIENTO Y PLANEACIÓN\INFORME TABLERO DE INDICADORES PLAN DE DESARROLLO 2023 - 10032023.pdf"/>
    <hyperlink ref="I38" r:id="rId78" display="PROCESO DESARROLLO DEL SISTEMA DE GESTIÓN\INFORME DESARROLLO SISTEMA DE GESTIÓN 2021 - 04062021.pdf"/>
    <hyperlink ref="I85" r:id="rId79" display="PROCESO GESTIÓN SISTEMA DE INFORMACIÓN\INFORME SEGURIDAD DE LA INFORMACIÓN 2023 - 23112023.pdf"/>
    <hyperlink ref="I63" r:id="rId80" display="SIN PROCESO - COMUNICACIÓN ORGANIZACIONAL\INFORME COMPONENTE COMUNICACIÓN ORGANIZACIONAL 2022 - 06102022.pdf"/>
    <hyperlink ref="I83" r:id="rId81" display="PROCESO GESTIÓN LOGÍSTICA\INFORME CONTROL DE INVENTARIO BIENES MUEBLES 2023 -10112023.pdf"/>
    <hyperlink ref="I87" r:id="rId82" display="PROCESO GESTIÓN FINANCIERA\INFORME CUADRE DE CAJA 2023-3 - 27122023.pdf"/>
    <hyperlink ref="I86" r:id="rId83" display="PROCESO GESTIÓN DE LA CONTRATACIÓN\INFORME CONTRATACION BIENES Y SERVICIOS 2023-4 - 19122023.pdf"/>
    <hyperlink ref="I88" r:id="rId84" display="PROCESO GESTIÓN SALUD PÚBLICA Y TERRITORIAL\INFORME GESTIÓN SALUD PÚBLICA Y TERRITORIAL 2023 - 10012024.pdf"/>
    <hyperlink ref="I89" r:id="rId85" display="PROCESO GESTIÓN FINANCIERA\INFORME GESTIÓN FINANCIERA COSTOS 2023 - 15012024.pdf"/>
  </hyperlinks>
  <pageMargins left="0.7" right="0.7" top="0.75" bottom="0.75" header="0.3" footer="0.3"/>
  <pageSetup orientation="portrait" r:id="rId86"/>
  <ignoredErrors>
    <ignoredError sqref="K66 L66:T66 K80:T80 K76:T76 K78:T78 K48:M48 K67:M67 Q48:T48 Q67:T67" 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14:formula1>
            <xm:f>PROCESOS!$A$1:$A$27</xm:f>
          </x14:formula1>
          <xm:sqref>H5:H215</xm:sqref>
        </x14:dataValidation>
        <x14:dataValidation type="list" allowBlank="1" showInputMessage="1" showErrorMessage="1">
          <x14:formula1>
            <xm:f>'UNIDADES ADMINISTRATIVAS'!$A$1:$A$15</xm:f>
          </x14:formula1>
          <xm:sqref>G90:G215 G5:G88</xm:sqref>
        </x14:dataValidation>
        <x14:dataValidation type="list" allowBlank="1" showInputMessage="1" showErrorMessage="1">
          <x14:formula1>
            <xm:f>'V:\PLANES DE MEJORAMIENTO DE LAS AUDITORIAS CON ENFOQUE EN RIESGOS 2022-2023\[CONSOLIDADO AUDITORIAS CON ENFOQUE EN RIESGOS 2022-2023.xlsx]UNIDADES ADMINISTRATIVAS'!#REF!</xm:f>
          </x14:formula1>
          <xm:sqref>G89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175"/>
  <sheetViews>
    <sheetView showGridLines="0" workbookViewId="0">
      <selection activeCell="B1" sqref="B1:G84"/>
    </sheetView>
  </sheetViews>
  <sheetFormatPr baseColWidth="10" defaultColWidth="11.44140625" defaultRowHeight="13.2"/>
  <cols>
    <col min="1" max="1" width="11.44140625" style="154"/>
    <col min="2" max="2" width="10.88671875" style="155" customWidth="1"/>
    <col min="3" max="3" width="56.33203125" style="153" customWidth="1"/>
    <col min="4" max="4" width="14.5546875" style="155" hidden="1" customWidth="1"/>
    <col min="5" max="5" width="38.6640625" style="154" hidden="1" customWidth="1"/>
    <col min="6" max="6" width="51.5546875" style="153" bestFit="1" customWidth="1"/>
    <col min="7" max="7" width="16.6640625" style="156" customWidth="1"/>
    <col min="8" max="12" width="11.44140625" style="154"/>
    <col min="13" max="13" width="60.33203125" style="154" customWidth="1"/>
    <col min="14" max="16384" width="11.44140625" style="154"/>
  </cols>
  <sheetData>
    <row r="1" spans="2:13" s="155" customFormat="1" ht="34.200000000000003">
      <c r="B1" s="161" t="s">
        <v>380</v>
      </c>
      <c r="C1" s="161" t="s">
        <v>379</v>
      </c>
      <c r="D1" s="161" t="s">
        <v>381</v>
      </c>
      <c r="E1" s="162" t="s">
        <v>382</v>
      </c>
      <c r="F1" s="161" t="s">
        <v>383</v>
      </c>
      <c r="G1" s="161" t="s">
        <v>384</v>
      </c>
    </row>
    <row r="2" spans="2:13" ht="27" customHeight="1">
      <c r="B2" s="158">
        <v>2019</v>
      </c>
      <c r="C2" s="159" t="s">
        <v>388</v>
      </c>
      <c r="D2" s="158">
        <v>9</v>
      </c>
      <c r="E2" s="160" t="s">
        <v>36</v>
      </c>
      <c r="F2" s="159" t="s">
        <v>35</v>
      </c>
      <c r="G2" s="157" t="s">
        <v>386</v>
      </c>
    </row>
    <row r="3" spans="2:13" ht="27" customHeight="1">
      <c r="B3" s="158">
        <v>2019</v>
      </c>
      <c r="C3" s="159" t="s">
        <v>389</v>
      </c>
      <c r="D3" s="158">
        <v>4</v>
      </c>
      <c r="E3" s="160" t="s">
        <v>12</v>
      </c>
      <c r="F3" s="159" t="s">
        <v>11</v>
      </c>
      <c r="G3" s="157" t="s">
        <v>386</v>
      </c>
    </row>
    <row r="4" spans="2:13" ht="27" customHeight="1">
      <c r="B4" s="158">
        <v>2019</v>
      </c>
      <c r="C4" s="159" t="s">
        <v>390</v>
      </c>
      <c r="D4" s="158">
        <v>3</v>
      </c>
      <c r="E4" s="160" t="s">
        <v>46</v>
      </c>
      <c r="F4" s="159" t="s">
        <v>45</v>
      </c>
      <c r="G4" s="157" t="s">
        <v>386</v>
      </c>
    </row>
    <row r="5" spans="2:13" ht="27" customHeight="1">
      <c r="B5" s="158">
        <v>2019</v>
      </c>
      <c r="C5" s="159" t="s">
        <v>391</v>
      </c>
      <c r="D5" s="158">
        <v>6</v>
      </c>
      <c r="E5" s="160" t="s">
        <v>16</v>
      </c>
      <c r="F5" s="159" t="s">
        <v>11</v>
      </c>
      <c r="G5" s="157" t="s">
        <v>386</v>
      </c>
    </row>
    <row r="6" spans="2:13" ht="27" customHeight="1">
      <c r="B6" s="158">
        <v>2019</v>
      </c>
      <c r="C6" s="159" t="s">
        <v>392</v>
      </c>
      <c r="D6" s="158">
        <v>7</v>
      </c>
      <c r="E6" s="160" t="s">
        <v>19</v>
      </c>
      <c r="F6" s="159" t="s">
        <v>11</v>
      </c>
      <c r="G6" s="157" t="s">
        <v>386</v>
      </c>
    </row>
    <row r="7" spans="2:13" ht="27" customHeight="1">
      <c r="B7" s="158">
        <v>2019</v>
      </c>
      <c r="C7" s="159" t="s">
        <v>393</v>
      </c>
      <c r="D7" s="158">
        <v>8</v>
      </c>
      <c r="E7" s="160" t="s">
        <v>22</v>
      </c>
      <c r="F7" s="159" t="s">
        <v>11</v>
      </c>
      <c r="G7" s="157" t="s">
        <v>386</v>
      </c>
    </row>
    <row r="8" spans="2:13" ht="27" customHeight="1">
      <c r="B8" s="158">
        <v>2019</v>
      </c>
      <c r="C8" s="159" t="s">
        <v>394</v>
      </c>
      <c r="D8" s="158">
        <v>4</v>
      </c>
      <c r="E8" s="160" t="s">
        <v>55</v>
      </c>
      <c r="F8" s="159" t="s">
        <v>54</v>
      </c>
      <c r="G8" s="157" t="s">
        <v>387</v>
      </c>
    </row>
    <row r="9" spans="2:13" ht="27" customHeight="1">
      <c r="B9" s="158">
        <v>2019</v>
      </c>
      <c r="C9" s="159" t="s">
        <v>395</v>
      </c>
      <c r="D9" s="158">
        <v>8</v>
      </c>
      <c r="E9" s="160" t="s">
        <v>25</v>
      </c>
      <c r="F9" s="159" t="s">
        <v>11</v>
      </c>
      <c r="G9" s="157" t="s">
        <v>386</v>
      </c>
    </row>
    <row r="10" spans="2:13" ht="27" customHeight="1">
      <c r="B10" s="158">
        <v>2019</v>
      </c>
      <c r="C10" s="159" t="s">
        <v>396</v>
      </c>
      <c r="D10" s="158">
        <v>15</v>
      </c>
      <c r="E10" s="160" t="s">
        <v>36</v>
      </c>
      <c r="F10" s="159" t="s">
        <v>35</v>
      </c>
      <c r="G10" s="157" t="s">
        <v>387</v>
      </c>
    </row>
    <row r="11" spans="2:13" ht="27" customHeight="1">
      <c r="B11" s="158">
        <v>2019</v>
      </c>
      <c r="C11" s="159" t="s">
        <v>397</v>
      </c>
      <c r="D11" s="158">
        <v>4</v>
      </c>
      <c r="E11" s="160" t="s">
        <v>41</v>
      </c>
      <c r="F11" s="159" t="s">
        <v>40</v>
      </c>
      <c r="G11" s="157" t="s">
        <v>386</v>
      </c>
    </row>
    <row r="12" spans="2:13" ht="27" customHeight="1">
      <c r="B12" s="158">
        <v>2019</v>
      </c>
      <c r="C12" s="159" t="s">
        <v>398</v>
      </c>
      <c r="D12" s="158">
        <v>7</v>
      </c>
      <c r="E12" s="160" t="s">
        <v>51</v>
      </c>
      <c r="F12" s="159" t="s">
        <v>50</v>
      </c>
      <c r="G12" s="157" t="s">
        <v>386</v>
      </c>
    </row>
    <row r="13" spans="2:13" ht="27" customHeight="1">
      <c r="B13" s="158">
        <v>2019</v>
      </c>
      <c r="C13" s="159" t="s">
        <v>399</v>
      </c>
      <c r="D13" s="158">
        <v>6</v>
      </c>
      <c r="E13" s="160" t="s">
        <v>28</v>
      </c>
      <c r="F13" s="159" t="s">
        <v>11</v>
      </c>
      <c r="G13" s="157" t="s">
        <v>386</v>
      </c>
      <c r="M13"/>
    </row>
    <row r="14" spans="2:13" ht="27" customHeight="1">
      <c r="B14" s="158">
        <v>2019</v>
      </c>
      <c r="C14" s="159" t="s">
        <v>400</v>
      </c>
      <c r="D14" s="158">
        <v>6</v>
      </c>
      <c r="E14" s="160" t="s">
        <v>31</v>
      </c>
      <c r="F14" s="159" t="s">
        <v>11</v>
      </c>
      <c r="G14" s="157" t="s">
        <v>386</v>
      </c>
      <c r="M14"/>
    </row>
    <row r="15" spans="2:13" ht="27" customHeight="1">
      <c r="B15" s="158">
        <v>2020</v>
      </c>
      <c r="C15" s="159" t="s">
        <v>401</v>
      </c>
      <c r="D15" s="158">
        <v>7</v>
      </c>
      <c r="E15" s="160" t="s">
        <v>16</v>
      </c>
      <c r="F15" s="159" t="s">
        <v>11</v>
      </c>
      <c r="G15" s="157" t="s">
        <v>386</v>
      </c>
      <c r="M15"/>
    </row>
    <row r="16" spans="2:13" ht="27" customHeight="1">
      <c r="B16" s="158">
        <v>2020</v>
      </c>
      <c r="C16" s="159" t="s">
        <v>402</v>
      </c>
      <c r="D16" s="158">
        <v>10</v>
      </c>
      <c r="E16" s="160" t="s">
        <v>41</v>
      </c>
      <c r="F16" s="159" t="s">
        <v>40</v>
      </c>
      <c r="G16" s="157" t="s">
        <v>387</v>
      </c>
      <c r="M16"/>
    </row>
    <row r="17" spans="2:13" ht="27" customHeight="1">
      <c r="B17" s="158">
        <v>2020</v>
      </c>
      <c r="C17" s="159" t="s">
        <v>403</v>
      </c>
      <c r="D17" s="158">
        <v>4</v>
      </c>
      <c r="E17" s="160" t="s">
        <v>41</v>
      </c>
      <c r="F17" s="159" t="s">
        <v>40</v>
      </c>
      <c r="G17" s="157" t="s">
        <v>387</v>
      </c>
      <c r="M17"/>
    </row>
    <row r="18" spans="2:13" ht="27" customHeight="1">
      <c r="B18" s="158">
        <v>2020</v>
      </c>
      <c r="C18" s="159" t="s">
        <v>404</v>
      </c>
      <c r="D18" s="158">
        <v>4</v>
      </c>
      <c r="E18" s="160" t="s">
        <v>71</v>
      </c>
      <c r="F18" s="159" t="s">
        <v>11</v>
      </c>
      <c r="G18" s="157" t="s">
        <v>386</v>
      </c>
      <c r="M18"/>
    </row>
    <row r="19" spans="2:13" ht="27" customHeight="1">
      <c r="B19" s="158">
        <v>2020</v>
      </c>
      <c r="C19" s="159" t="s">
        <v>405</v>
      </c>
      <c r="D19" s="158">
        <v>12</v>
      </c>
      <c r="E19" s="160" t="s">
        <v>67</v>
      </c>
      <c r="F19" s="159" t="s">
        <v>82</v>
      </c>
      <c r="G19" s="157" t="s">
        <v>386</v>
      </c>
      <c r="M19"/>
    </row>
    <row r="20" spans="2:13" ht="27" customHeight="1">
      <c r="B20" s="158">
        <v>2020</v>
      </c>
      <c r="C20" s="159" t="s">
        <v>406</v>
      </c>
      <c r="D20" s="158">
        <v>1</v>
      </c>
      <c r="E20" s="160" t="s">
        <v>19</v>
      </c>
      <c r="F20" s="159" t="s">
        <v>11</v>
      </c>
      <c r="G20" s="157" t="s">
        <v>387</v>
      </c>
      <c r="M20"/>
    </row>
    <row r="21" spans="2:13" ht="27" customHeight="1">
      <c r="B21" s="158">
        <v>2020</v>
      </c>
      <c r="C21" s="159" t="s">
        <v>407</v>
      </c>
      <c r="D21" s="158">
        <v>12</v>
      </c>
      <c r="E21" s="160" t="s">
        <v>67</v>
      </c>
      <c r="F21" s="159" t="s">
        <v>82</v>
      </c>
      <c r="G21" s="157" t="s">
        <v>386</v>
      </c>
      <c r="M21"/>
    </row>
    <row r="22" spans="2:13" ht="27" customHeight="1">
      <c r="B22" s="158">
        <v>2020</v>
      </c>
      <c r="C22" s="159" t="s">
        <v>408</v>
      </c>
      <c r="D22" s="158">
        <v>4</v>
      </c>
      <c r="E22" s="160" t="s">
        <v>31</v>
      </c>
      <c r="F22" s="159" t="s">
        <v>11</v>
      </c>
      <c r="G22" s="157" t="s">
        <v>387</v>
      </c>
      <c r="M22"/>
    </row>
    <row r="23" spans="2:13" ht="27" customHeight="1">
      <c r="B23" s="158">
        <v>2020</v>
      </c>
      <c r="C23" s="159" t="s">
        <v>409</v>
      </c>
      <c r="D23" s="158">
        <v>4</v>
      </c>
      <c r="E23" s="160" t="s">
        <v>22</v>
      </c>
      <c r="F23" s="159" t="s">
        <v>11</v>
      </c>
      <c r="G23" s="157" t="s">
        <v>386</v>
      </c>
      <c r="M23"/>
    </row>
    <row r="24" spans="2:13" ht="27" customHeight="1">
      <c r="B24" s="158">
        <v>2020</v>
      </c>
      <c r="C24" s="159" t="s">
        <v>410</v>
      </c>
      <c r="D24" s="158">
        <v>6</v>
      </c>
      <c r="E24" s="160" t="s">
        <v>46</v>
      </c>
      <c r="F24" s="159" t="s">
        <v>45</v>
      </c>
      <c r="G24" s="157" t="s">
        <v>387</v>
      </c>
      <c r="M24"/>
    </row>
    <row r="25" spans="2:13" ht="27" customHeight="1">
      <c r="B25" s="158">
        <v>2020</v>
      </c>
      <c r="C25" s="159" t="s">
        <v>411</v>
      </c>
      <c r="D25" s="158">
        <v>2</v>
      </c>
      <c r="E25" s="160" t="s">
        <v>46</v>
      </c>
      <c r="F25" s="159" t="s">
        <v>45</v>
      </c>
      <c r="G25" s="157" t="s">
        <v>387</v>
      </c>
      <c r="M25"/>
    </row>
    <row r="26" spans="2:13" ht="27" customHeight="1">
      <c r="B26" s="158">
        <v>2020</v>
      </c>
      <c r="C26" s="159" t="s">
        <v>412</v>
      </c>
      <c r="D26" s="158">
        <v>4</v>
      </c>
      <c r="E26" s="160" t="s">
        <v>12</v>
      </c>
      <c r="F26" s="159" t="s">
        <v>11</v>
      </c>
      <c r="G26" s="157" t="s">
        <v>386</v>
      </c>
      <c r="M26"/>
    </row>
    <row r="27" spans="2:13" ht="27" customHeight="1">
      <c r="B27" s="158">
        <v>2020</v>
      </c>
      <c r="C27" s="159" t="s">
        <v>458</v>
      </c>
      <c r="D27" s="158">
        <v>4</v>
      </c>
      <c r="E27" s="160" t="s">
        <v>25</v>
      </c>
      <c r="F27" s="159" t="s">
        <v>11</v>
      </c>
      <c r="G27" s="157" t="s">
        <v>386</v>
      </c>
      <c r="M27"/>
    </row>
    <row r="28" spans="2:13" ht="27" customHeight="1">
      <c r="B28" s="158">
        <v>2020</v>
      </c>
      <c r="C28" s="159" t="s">
        <v>457</v>
      </c>
      <c r="D28" s="158">
        <v>3</v>
      </c>
      <c r="E28" s="160" t="s">
        <v>19</v>
      </c>
      <c r="F28" s="159" t="s">
        <v>11</v>
      </c>
      <c r="G28" s="157" t="s">
        <v>387</v>
      </c>
      <c r="M28"/>
    </row>
    <row r="29" spans="2:13" ht="27" customHeight="1">
      <c r="B29" s="158">
        <v>2020</v>
      </c>
      <c r="C29" s="159" t="s">
        <v>413</v>
      </c>
      <c r="D29" s="158">
        <v>6</v>
      </c>
      <c r="E29" s="160" t="s">
        <v>85</v>
      </c>
      <c r="F29" s="159" t="s">
        <v>11</v>
      </c>
      <c r="G29" s="157" t="s">
        <v>386</v>
      </c>
      <c r="M29"/>
    </row>
    <row r="30" spans="2:13" ht="27" customHeight="1">
      <c r="B30" s="158">
        <v>2020</v>
      </c>
      <c r="C30" s="159" t="s">
        <v>396</v>
      </c>
      <c r="D30" s="158">
        <v>14</v>
      </c>
      <c r="E30" s="160" t="s">
        <v>36</v>
      </c>
      <c r="F30" s="159" t="s">
        <v>35</v>
      </c>
      <c r="G30" s="157" t="s">
        <v>387</v>
      </c>
      <c r="M30"/>
    </row>
    <row r="31" spans="2:13" ht="27" customHeight="1">
      <c r="B31" s="158">
        <v>2021</v>
      </c>
      <c r="C31" s="159" t="s">
        <v>414</v>
      </c>
      <c r="D31" s="158">
        <v>2</v>
      </c>
      <c r="E31" s="160" t="s">
        <v>67</v>
      </c>
      <c r="F31" s="159" t="s">
        <v>82</v>
      </c>
      <c r="G31" s="157" t="s">
        <v>386</v>
      </c>
      <c r="M31"/>
    </row>
    <row r="32" spans="2:13" ht="27" customHeight="1">
      <c r="B32" s="158">
        <v>2021</v>
      </c>
      <c r="C32" s="159" t="s">
        <v>394</v>
      </c>
      <c r="D32" s="158">
        <v>4</v>
      </c>
      <c r="E32" s="160" t="s">
        <v>55</v>
      </c>
      <c r="F32" s="159" t="s">
        <v>54</v>
      </c>
      <c r="G32" s="157" t="s">
        <v>386</v>
      </c>
      <c r="M32"/>
    </row>
    <row r="33" spans="2:13" ht="27" customHeight="1">
      <c r="B33" s="158">
        <v>2021</v>
      </c>
      <c r="C33" s="159" t="s">
        <v>415</v>
      </c>
      <c r="D33" s="158">
        <v>3</v>
      </c>
      <c r="E33" s="160" t="s">
        <v>46</v>
      </c>
      <c r="F33" s="159" t="s">
        <v>45</v>
      </c>
      <c r="G33" s="157" t="s">
        <v>387</v>
      </c>
      <c r="M33"/>
    </row>
    <row r="34" spans="2:13" ht="27" customHeight="1">
      <c r="B34" s="158">
        <v>2021</v>
      </c>
      <c r="C34" s="159" t="s">
        <v>416</v>
      </c>
      <c r="D34" s="158">
        <v>5</v>
      </c>
      <c r="E34" s="160" t="s">
        <v>41</v>
      </c>
      <c r="F34" s="159" t="s">
        <v>40</v>
      </c>
      <c r="G34" s="157" t="s">
        <v>386</v>
      </c>
      <c r="M34"/>
    </row>
    <row r="35" spans="2:13" ht="27" customHeight="1">
      <c r="B35" s="158">
        <v>2021</v>
      </c>
      <c r="C35" s="159" t="s">
        <v>417</v>
      </c>
      <c r="D35" s="158">
        <v>12</v>
      </c>
      <c r="E35" s="160" t="s">
        <v>92</v>
      </c>
      <c r="F35" s="159" t="s">
        <v>95</v>
      </c>
      <c r="G35" s="157" t="s">
        <v>386</v>
      </c>
      <c r="M35"/>
    </row>
    <row r="36" spans="2:13" ht="27" customHeight="1">
      <c r="B36" s="158">
        <v>2021</v>
      </c>
      <c r="C36" s="159" t="s">
        <v>418</v>
      </c>
      <c r="D36" s="158">
        <v>7</v>
      </c>
      <c r="E36" s="160" t="s">
        <v>36</v>
      </c>
      <c r="F36" s="159" t="s">
        <v>35</v>
      </c>
      <c r="G36" s="157" t="s">
        <v>386</v>
      </c>
      <c r="M36"/>
    </row>
    <row r="37" spans="2:13" ht="27" customHeight="1">
      <c r="B37" s="158">
        <v>2021</v>
      </c>
      <c r="C37" s="159" t="s">
        <v>419</v>
      </c>
      <c r="D37" s="158">
        <v>9</v>
      </c>
      <c r="E37" s="160" t="s">
        <v>36</v>
      </c>
      <c r="F37" s="159" t="s">
        <v>35</v>
      </c>
      <c r="G37" s="157" t="s">
        <v>387</v>
      </c>
      <c r="M37"/>
    </row>
    <row r="38" spans="2:13" ht="27" customHeight="1">
      <c r="B38" s="158">
        <v>2021</v>
      </c>
      <c r="C38" s="159" t="s">
        <v>420</v>
      </c>
      <c r="D38" s="158">
        <v>3</v>
      </c>
      <c r="E38" s="160" t="s">
        <v>41</v>
      </c>
      <c r="F38" s="159" t="s">
        <v>40</v>
      </c>
      <c r="G38" s="157" t="s">
        <v>387</v>
      </c>
      <c r="M38"/>
    </row>
    <row r="39" spans="2:13" ht="27" customHeight="1">
      <c r="B39" s="158">
        <v>2021</v>
      </c>
      <c r="C39" s="159" t="s">
        <v>421</v>
      </c>
      <c r="D39" s="158">
        <v>3</v>
      </c>
      <c r="E39" s="160" t="s">
        <v>19</v>
      </c>
      <c r="F39" s="159" t="s">
        <v>11</v>
      </c>
      <c r="G39" s="157" t="s">
        <v>386</v>
      </c>
      <c r="M39"/>
    </row>
    <row r="40" spans="2:13" ht="27" customHeight="1">
      <c r="B40" s="158">
        <v>2021</v>
      </c>
      <c r="C40" s="159" t="s">
        <v>422</v>
      </c>
      <c r="D40" s="158">
        <v>2</v>
      </c>
      <c r="E40" s="160" t="s">
        <v>106</v>
      </c>
      <c r="F40" s="159" t="s">
        <v>105</v>
      </c>
      <c r="G40" s="157" t="s">
        <v>387</v>
      </c>
      <c r="M40"/>
    </row>
    <row r="41" spans="2:13" ht="27" customHeight="1">
      <c r="B41" s="158">
        <v>2021</v>
      </c>
      <c r="C41" s="159" t="s">
        <v>423</v>
      </c>
      <c r="D41" s="158">
        <v>5</v>
      </c>
      <c r="E41" s="160" t="s">
        <v>31</v>
      </c>
      <c r="F41" s="159" t="s">
        <v>11</v>
      </c>
      <c r="G41" s="157" t="s">
        <v>386</v>
      </c>
      <c r="M41"/>
    </row>
    <row r="42" spans="2:13" ht="27" customHeight="1">
      <c r="B42" s="158">
        <v>2021</v>
      </c>
      <c r="C42" s="159" t="s">
        <v>424</v>
      </c>
      <c r="D42" s="158">
        <v>3</v>
      </c>
      <c r="E42" s="160" t="s">
        <v>51</v>
      </c>
      <c r="F42" s="159" t="s">
        <v>50</v>
      </c>
      <c r="G42" s="157" t="s">
        <v>386</v>
      </c>
      <c r="M42"/>
    </row>
    <row r="43" spans="2:13" ht="27" customHeight="1">
      <c r="B43" s="158">
        <v>2021</v>
      </c>
      <c r="C43" s="159" t="s">
        <v>425</v>
      </c>
      <c r="D43" s="158">
        <v>3</v>
      </c>
      <c r="E43" s="160" t="s">
        <v>19</v>
      </c>
      <c r="F43" s="159" t="s">
        <v>11</v>
      </c>
      <c r="G43" s="157" t="s">
        <v>387</v>
      </c>
      <c r="M43"/>
    </row>
    <row r="44" spans="2:13" ht="27" customHeight="1">
      <c r="B44" s="158">
        <v>2021</v>
      </c>
      <c r="C44" s="159" t="s">
        <v>426</v>
      </c>
      <c r="D44" s="158">
        <v>5</v>
      </c>
      <c r="E44" s="160" t="s">
        <v>41</v>
      </c>
      <c r="F44" s="159" t="s">
        <v>40</v>
      </c>
      <c r="G44" s="157" t="s">
        <v>387</v>
      </c>
      <c r="M44"/>
    </row>
    <row r="45" spans="2:13" ht="27" customHeight="1">
      <c r="B45" s="158">
        <v>2021</v>
      </c>
      <c r="C45" s="159" t="s">
        <v>418</v>
      </c>
      <c r="D45" s="158">
        <v>6</v>
      </c>
      <c r="E45" s="160" t="s">
        <v>36</v>
      </c>
      <c r="F45" s="159" t="s">
        <v>35</v>
      </c>
      <c r="G45" s="157" t="s">
        <v>387</v>
      </c>
      <c r="M45"/>
    </row>
    <row r="46" spans="2:13" ht="27" customHeight="1">
      <c r="B46" s="158">
        <v>2021</v>
      </c>
      <c r="C46" s="159" t="s">
        <v>402</v>
      </c>
      <c r="D46" s="158">
        <v>4</v>
      </c>
      <c r="E46" s="160" t="s">
        <v>41</v>
      </c>
      <c r="F46" s="159" t="s">
        <v>40</v>
      </c>
      <c r="G46" s="157" t="s">
        <v>386</v>
      </c>
      <c r="M46"/>
    </row>
    <row r="47" spans="2:13" ht="27" customHeight="1">
      <c r="B47" s="158">
        <v>2021</v>
      </c>
      <c r="C47" s="159" t="s">
        <v>427</v>
      </c>
      <c r="D47" s="158">
        <v>1</v>
      </c>
      <c r="E47" s="160" t="s">
        <v>118</v>
      </c>
      <c r="F47" s="159" t="s">
        <v>11</v>
      </c>
      <c r="G47" s="157" t="s">
        <v>386</v>
      </c>
      <c r="M47"/>
    </row>
    <row r="48" spans="2:13" ht="27" customHeight="1">
      <c r="B48" s="158">
        <v>2021</v>
      </c>
      <c r="C48" s="159" t="s">
        <v>428</v>
      </c>
      <c r="D48" s="158">
        <v>7</v>
      </c>
      <c r="E48" s="160" t="s">
        <v>67</v>
      </c>
      <c r="F48" s="159" t="s">
        <v>82</v>
      </c>
      <c r="G48" s="157" t="s">
        <v>387</v>
      </c>
      <c r="M48"/>
    </row>
    <row r="49" spans="2:13" ht="27" customHeight="1">
      <c r="B49" s="158">
        <v>2021</v>
      </c>
      <c r="C49" s="159" t="s">
        <v>429</v>
      </c>
      <c r="D49" s="158">
        <v>1</v>
      </c>
      <c r="E49" s="160" t="s">
        <v>128</v>
      </c>
      <c r="F49" s="159" t="s">
        <v>127</v>
      </c>
      <c r="G49" s="157" t="s">
        <v>386</v>
      </c>
      <c r="M49"/>
    </row>
    <row r="50" spans="2:13" ht="27" customHeight="1">
      <c r="B50" s="158">
        <v>2021</v>
      </c>
      <c r="C50" s="159" t="s">
        <v>396</v>
      </c>
      <c r="D50" s="158">
        <v>4</v>
      </c>
      <c r="E50" s="160" t="s">
        <v>36</v>
      </c>
      <c r="F50" s="159" t="s">
        <v>35</v>
      </c>
      <c r="G50" s="157" t="s">
        <v>386</v>
      </c>
      <c r="M50"/>
    </row>
    <row r="51" spans="2:13" ht="27" customHeight="1">
      <c r="B51" s="158">
        <v>2022</v>
      </c>
      <c r="C51" s="159" t="s">
        <v>418</v>
      </c>
      <c r="D51" s="158">
        <v>2</v>
      </c>
      <c r="E51" s="160" t="s">
        <v>36</v>
      </c>
      <c r="F51" s="159" t="s">
        <v>35</v>
      </c>
      <c r="G51" s="157" t="s">
        <v>387</v>
      </c>
      <c r="M51"/>
    </row>
    <row r="52" spans="2:13" ht="27" customHeight="1">
      <c r="B52" s="158">
        <v>2022</v>
      </c>
      <c r="C52" s="159" t="s">
        <v>430</v>
      </c>
      <c r="D52" s="158">
        <v>1</v>
      </c>
      <c r="E52" s="160" t="s">
        <v>128</v>
      </c>
      <c r="F52" s="159" t="s">
        <v>127</v>
      </c>
      <c r="G52" s="157" t="s">
        <v>386</v>
      </c>
      <c r="M52"/>
    </row>
    <row r="53" spans="2:13" ht="27" customHeight="1">
      <c r="B53" s="158">
        <v>2022</v>
      </c>
      <c r="C53" s="159" t="s">
        <v>431</v>
      </c>
      <c r="D53" s="158">
        <v>2</v>
      </c>
      <c r="E53" s="160" t="s">
        <v>46</v>
      </c>
      <c r="F53" s="159" t="s">
        <v>45</v>
      </c>
      <c r="G53" s="157" t="s">
        <v>387</v>
      </c>
      <c r="M53"/>
    </row>
    <row r="54" spans="2:13" ht="27" customHeight="1">
      <c r="B54" s="158">
        <v>2022</v>
      </c>
      <c r="C54" s="159" t="s">
        <v>432</v>
      </c>
      <c r="D54" s="158">
        <v>2</v>
      </c>
      <c r="E54" s="160" t="s">
        <v>41</v>
      </c>
      <c r="F54" s="159" t="s">
        <v>40</v>
      </c>
      <c r="G54" s="157" t="s">
        <v>386</v>
      </c>
      <c r="M54"/>
    </row>
    <row r="55" spans="2:13" ht="27" customHeight="1">
      <c r="B55" s="158">
        <v>2022</v>
      </c>
      <c r="C55" s="159" t="s">
        <v>433</v>
      </c>
      <c r="D55" s="158">
        <v>4</v>
      </c>
      <c r="E55" s="160" t="s">
        <v>92</v>
      </c>
      <c r="F55" s="159" t="s">
        <v>95</v>
      </c>
      <c r="G55" s="157" t="s">
        <v>386</v>
      </c>
      <c r="M55"/>
    </row>
    <row r="56" spans="2:13" ht="27" customHeight="1">
      <c r="B56" s="158">
        <v>2022</v>
      </c>
      <c r="C56" s="159" t="s">
        <v>434</v>
      </c>
      <c r="D56" s="158">
        <v>1</v>
      </c>
      <c r="E56" s="160" t="s">
        <v>41</v>
      </c>
      <c r="F56" s="159" t="s">
        <v>40</v>
      </c>
      <c r="G56" s="157" t="s">
        <v>387</v>
      </c>
      <c r="M56"/>
    </row>
    <row r="57" spans="2:13" ht="27" customHeight="1">
      <c r="B57" s="158">
        <v>2022</v>
      </c>
      <c r="C57" s="159" t="s">
        <v>435</v>
      </c>
      <c r="D57" s="158">
        <v>1</v>
      </c>
      <c r="E57" s="160" t="s">
        <v>41</v>
      </c>
      <c r="F57" s="159" t="s">
        <v>40</v>
      </c>
      <c r="G57" s="157" t="s">
        <v>387</v>
      </c>
      <c r="M57"/>
    </row>
    <row r="58" spans="2:13" ht="27" customHeight="1">
      <c r="B58" s="158">
        <v>2022</v>
      </c>
      <c r="C58" s="159" t="s">
        <v>436</v>
      </c>
      <c r="D58" s="158">
        <v>4</v>
      </c>
      <c r="E58" s="160" t="s">
        <v>41</v>
      </c>
      <c r="F58" s="159" t="s">
        <v>40</v>
      </c>
      <c r="G58" s="157" t="s">
        <v>387</v>
      </c>
      <c r="M58"/>
    </row>
    <row r="59" spans="2:13" ht="27" customHeight="1">
      <c r="B59" s="158">
        <v>2022</v>
      </c>
      <c r="C59" s="159" t="s">
        <v>388</v>
      </c>
      <c r="D59" s="158">
        <v>4</v>
      </c>
      <c r="E59" s="160" t="s">
        <v>36</v>
      </c>
      <c r="F59" s="159" t="s">
        <v>35</v>
      </c>
      <c r="G59" s="157" t="s">
        <v>387</v>
      </c>
      <c r="M59"/>
    </row>
    <row r="60" spans="2:13" ht="27" customHeight="1">
      <c r="B60" s="158">
        <v>2022</v>
      </c>
      <c r="C60" s="159" t="s">
        <v>437</v>
      </c>
      <c r="D60" s="158">
        <v>5</v>
      </c>
      <c r="E60" s="160" t="s">
        <v>152</v>
      </c>
      <c r="F60" s="159" t="s">
        <v>151</v>
      </c>
      <c r="G60" s="157" t="s">
        <v>387</v>
      </c>
      <c r="M60"/>
    </row>
    <row r="61" spans="2:13" ht="27" customHeight="1">
      <c r="B61" s="158">
        <v>2022</v>
      </c>
      <c r="C61" s="159" t="s">
        <v>438</v>
      </c>
      <c r="D61" s="158">
        <v>1</v>
      </c>
      <c r="E61" s="160" t="s">
        <v>128</v>
      </c>
      <c r="F61" s="159" t="s">
        <v>127</v>
      </c>
      <c r="G61" s="157" t="s">
        <v>387</v>
      </c>
      <c r="M61"/>
    </row>
    <row r="62" spans="2:13" ht="27" customHeight="1">
      <c r="B62" s="158">
        <v>2022</v>
      </c>
      <c r="C62" s="159" t="s">
        <v>418</v>
      </c>
      <c r="D62" s="158">
        <v>3</v>
      </c>
      <c r="E62" s="160" t="s">
        <v>36</v>
      </c>
      <c r="F62" s="159" t="s">
        <v>35</v>
      </c>
      <c r="G62" s="157" t="s">
        <v>387</v>
      </c>
      <c r="M62"/>
    </row>
    <row r="63" spans="2:13" ht="27" customHeight="1">
      <c r="B63" s="158">
        <v>2022</v>
      </c>
      <c r="C63" s="159" t="s">
        <v>439</v>
      </c>
      <c r="D63" s="158">
        <v>1</v>
      </c>
      <c r="E63" s="160" t="s">
        <v>22</v>
      </c>
      <c r="F63" s="159" t="s">
        <v>11</v>
      </c>
      <c r="G63" s="157" t="s">
        <v>387</v>
      </c>
      <c r="M63"/>
    </row>
    <row r="64" spans="2:13" ht="27" customHeight="1">
      <c r="B64" s="158">
        <v>2023</v>
      </c>
      <c r="C64" s="159" t="s">
        <v>440</v>
      </c>
      <c r="D64" s="158">
        <v>8</v>
      </c>
      <c r="E64" s="160" t="s">
        <v>36</v>
      </c>
      <c r="F64" s="159" t="s">
        <v>35</v>
      </c>
      <c r="G64" s="157" t="s">
        <v>387</v>
      </c>
      <c r="M64"/>
    </row>
    <row r="65" spans="2:13" ht="27" customHeight="1">
      <c r="B65" s="158">
        <v>2023</v>
      </c>
      <c r="C65" s="159" t="s">
        <v>441</v>
      </c>
      <c r="D65" s="158">
        <v>1</v>
      </c>
      <c r="E65" s="160" t="s">
        <v>22</v>
      </c>
      <c r="F65" s="159" t="s">
        <v>11</v>
      </c>
      <c r="G65" s="157" t="s">
        <v>387</v>
      </c>
      <c r="M65"/>
    </row>
    <row r="66" spans="2:13" ht="27" customHeight="1">
      <c r="B66" s="158">
        <v>2023</v>
      </c>
      <c r="C66" s="159" t="s">
        <v>442</v>
      </c>
      <c r="D66" s="158">
        <v>3</v>
      </c>
      <c r="E66" s="160" t="s">
        <v>142</v>
      </c>
      <c r="F66" s="159" t="s">
        <v>95</v>
      </c>
      <c r="G66" s="157" t="s">
        <v>386</v>
      </c>
      <c r="M66"/>
    </row>
    <row r="67" spans="2:13" ht="27" customHeight="1">
      <c r="B67" s="158">
        <v>2023</v>
      </c>
      <c r="C67" s="159" t="s">
        <v>390</v>
      </c>
      <c r="D67" s="158">
        <v>6</v>
      </c>
      <c r="E67" s="160" t="s">
        <v>46</v>
      </c>
      <c r="F67" s="159" t="s">
        <v>45</v>
      </c>
      <c r="G67" s="157" t="s">
        <v>386</v>
      </c>
      <c r="M67"/>
    </row>
    <row r="68" spans="2:13" ht="27" customHeight="1">
      <c r="B68" s="158">
        <v>2023</v>
      </c>
      <c r="C68" s="159" t="s">
        <v>443</v>
      </c>
      <c r="D68" s="158">
        <v>9</v>
      </c>
      <c r="E68" s="160" t="s">
        <v>36</v>
      </c>
      <c r="F68" s="159" t="s">
        <v>35</v>
      </c>
      <c r="G68" s="157" t="s">
        <v>387</v>
      </c>
      <c r="M68"/>
    </row>
    <row r="69" spans="2:13" ht="27" customHeight="1">
      <c r="B69" s="158">
        <v>2023</v>
      </c>
      <c r="C69" s="159" t="s">
        <v>444</v>
      </c>
      <c r="D69" s="158">
        <v>4</v>
      </c>
      <c r="E69" s="160" t="s">
        <v>106</v>
      </c>
      <c r="F69" s="159" t="s">
        <v>105</v>
      </c>
      <c r="G69" s="157" t="s">
        <v>387</v>
      </c>
      <c r="M69"/>
    </row>
    <row r="70" spans="2:13" ht="27" customHeight="1">
      <c r="B70" s="158">
        <v>2023</v>
      </c>
      <c r="C70" s="159" t="s">
        <v>444</v>
      </c>
      <c r="D70" s="158">
        <v>3</v>
      </c>
      <c r="E70" s="160" t="s">
        <v>106</v>
      </c>
      <c r="F70" s="159" t="s">
        <v>105</v>
      </c>
      <c r="G70" s="157" t="s">
        <v>386</v>
      </c>
      <c r="M70"/>
    </row>
    <row r="71" spans="2:13" ht="27" customHeight="1">
      <c r="B71" s="158">
        <v>2023</v>
      </c>
      <c r="C71" s="159" t="s">
        <v>445</v>
      </c>
      <c r="D71" s="158">
        <v>7</v>
      </c>
      <c r="E71" s="160" t="s">
        <v>36</v>
      </c>
      <c r="F71" s="159" t="s">
        <v>35</v>
      </c>
      <c r="G71" s="157" t="s">
        <v>387</v>
      </c>
      <c r="M71"/>
    </row>
    <row r="72" spans="2:13" ht="27" customHeight="1">
      <c r="B72" s="158">
        <v>2023</v>
      </c>
      <c r="C72" s="159" t="s">
        <v>446</v>
      </c>
      <c r="D72" s="158">
        <v>3</v>
      </c>
      <c r="E72" s="160" t="s">
        <v>118</v>
      </c>
      <c r="F72" s="159" t="s">
        <v>11</v>
      </c>
      <c r="G72" s="157" t="s">
        <v>387</v>
      </c>
      <c r="M72"/>
    </row>
    <row r="73" spans="2:13" ht="27" customHeight="1">
      <c r="B73" s="158">
        <v>2023</v>
      </c>
      <c r="C73" s="159" t="s">
        <v>447</v>
      </c>
      <c r="D73" s="158">
        <v>6</v>
      </c>
      <c r="E73" s="160" t="s">
        <v>36</v>
      </c>
      <c r="F73" s="159" t="s">
        <v>35</v>
      </c>
      <c r="G73" s="157" t="s">
        <v>387</v>
      </c>
      <c r="M73"/>
    </row>
    <row r="74" spans="2:13" ht="27" customHeight="1">
      <c r="B74" s="158">
        <v>2023</v>
      </c>
      <c r="C74" s="159" t="s">
        <v>448</v>
      </c>
      <c r="D74" s="158">
        <v>7</v>
      </c>
      <c r="E74" s="160" t="s">
        <v>67</v>
      </c>
      <c r="F74" s="159" t="s">
        <v>82</v>
      </c>
      <c r="G74" s="157" t="s">
        <v>386</v>
      </c>
      <c r="M74"/>
    </row>
    <row r="75" spans="2:13" ht="27" customHeight="1">
      <c r="B75" s="158">
        <v>2023</v>
      </c>
      <c r="C75" s="159" t="s">
        <v>449</v>
      </c>
      <c r="D75" s="158">
        <v>5</v>
      </c>
      <c r="E75" s="160" t="s">
        <v>36</v>
      </c>
      <c r="F75" s="159" t="s">
        <v>35</v>
      </c>
      <c r="G75" s="157" t="s">
        <v>387</v>
      </c>
      <c r="M75"/>
    </row>
    <row r="76" spans="2:13" ht="27" customHeight="1">
      <c r="B76" s="158">
        <v>2023</v>
      </c>
      <c r="C76" s="159" t="s">
        <v>444</v>
      </c>
      <c r="D76" s="158">
        <v>2</v>
      </c>
      <c r="E76" s="160" t="s">
        <v>106</v>
      </c>
      <c r="F76" s="159" t="s">
        <v>105</v>
      </c>
      <c r="G76" s="157" t="s">
        <v>387</v>
      </c>
      <c r="M76"/>
    </row>
    <row r="77" spans="2:13" ht="27" customHeight="1">
      <c r="B77" s="158">
        <v>2023</v>
      </c>
      <c r="C77" s="159" t="s">
        <v>450</v>
      </c>
      <c r="D77" s="158">
        <v>3</v>
      </c>
      <c r="E77" s="160" t="s">
        <v>41</v>
      </c>
      <c r="F77" s="159" t="s">
        <v>40</v>
      </c>
      <c r="G77" s="157" t="s">
        <v>387</v>
      </c>
      <c r="M77"/>
    </row>
    <row r="78" spans="2:13" ht="27" customHeight="1">
      <c r="B78" s="158">
        <v>2023</v>
      </c>
      <c r="C78" s="159" t="s">
        <v>451</v>
      </c>
      <c r="D78" s="158">
        <v>9</v>
      </c>
      <c r="E78" s="160" t="s">
        <v>186</v>
      </c>
      <c r="F78" s="159" t="s">
        <v>50</v>
      </c>
      <c r="G78" s="157" t="s">
        <v>387</v>
      </c>
      <c r="M78"/>
    </row>
    <row r="79" spans="2:13" ht="27" customHeight="1">
      <c r="B79" s="158">
        <v>2023</v>
      </c>
      <c r="C79" s="159" t="s">
        <v>452</v>
      </c>
      <c r="D79" s="158">
        <v>1</v>
      </c>
      <c r="E79" s="160" t="s">
        <v>36</v>
      </c>
      <c r="F79" s="159" t="s">
        <v>35</v>
      </c>
      <c r="G79" s="157" t="s">
        <v>387</v>
      </c>
      <c r="M79"/>
    </row>
    <row r="80" spans="2:13" ht="27" customHeight="1">
      <c r="B80" s="158">
        <v>2023</v>
      </c>
      <c r="C80" s="159" t="s">
        <v>444</v>
      </c>
      <c r="D80" s="158">
        <v>5</v>
      </c>
      <c r="E80" s="160" t="s">
        <v>106</v>
      </c>
      <c r="F80" s="159" t="s">
        <v>105</v>
      </c>
      <c r="G80" s="157" t="s">
        <v>387</v>
      </c>
      <c r="M80"/>
    </row>
    <row r="81" spans="2:13" ht="27" customHeight="1">
      <c r="B81" s="158">
        <v>2023</v>
      </c>
      <c r="C81" s="159" t="s">
        <v>453</v>
      </c>
      <c r="D81" s="158">
        <v>1</v>
      </c>
      <c r="E81" s="160" t="s">
        <v>36</v>
      </c>
      <c r="F81" s="159" t="s">
        <v>35</v>
      </c>
      <c r="G81" s="157" t="s">
        <v>387</v>
      </c>
      <c r="M81"/>
    </row>
    <row r="82" spans="2:13" ht="27" customHeight="1">
      <c r="B82" s="158">
        <v>2023</v>
      </c>
      <c r="C82" s="159" t="s">
        <v>454</v>
      </c>
      <c r="D82" s="158">
        <v>5</v>
      </c>
      <c r="E82" s="160" t="s">
        <v>163</v>
      </c>
      <c r="F82" s="159" t="s">
        <v>11</v>
      </c>
      <c r="G82" s="157" t="s">
        <v>387</v>
      </c>
      <c r="M82"/>
    </row>
    <row r="83" spans="2:13" ht="52.8">
      <c r="B83" s="158">
        <v>2023</v>
      </c>
      <c r="C83" s="159" t="s">
        <v>455</v>
      </c>
      <c r="D83" s="158">
        <v>8</v>
      </c>
      <c r="E83" s="160" t="s">
        <v>163</v>
      </c>
      <c r="F83" s="159" t="s">
        <v>11</v>
      </c>
      <c r="G83" s="157" t="s">
        <v>387</v>
      </c>
      <c r="M83"/>
    </row>
    <row r="84" spans="2:13" ht="66">
      <c r="B84" s="158">
        <v>2023</v>
      </c>
      <c r="C84" s="159" t="s">
        <v>456</v>
      </c>
      <c r="D84" s="158">
        <v>5</v>
      </c>
      <c r="E84" s="160" t="s">
        <v>163</v>
      </c>
      <c r="F84" s="159" t="s">
        <v>11</v>
      </c>
      <c r="G84" s="157" t="s">
        <v>387</v>
      </c>
      <c r="M84"/>
    </row>
    <row r="85" spans="2:13" ht="14.4">
      <c r="M85"/>
    </row>
    <row r="86" spans="2:13" ht="14.4">
      <c r="M86"/>
    </row>
    <row r="87" spans="2:13" ht="14.4">
      <c r="M87"/>
    </row>
    <row r="88" spans="2:13" ht="14.4">
      <c r="M88"/>
    </row>
    <row r="89" spans="2:13" ht="14.4">
      <c r="M89"/>
    </row>
    <row r="90" spans="2:13" ht="14.4">
      <c r="M90"/>
    </row>
    <row r="91" spans="2:13" ht="14.4">
      <c r="M91"/>
    </row>
    <row r="92" spans="2:13" ht="14.4">
      <c r="M92"/>
    </row>
    <row r="93" spans="2:13" ht="14.4">
      <c r="F93" s="154"/>
      <c r="G93" s="171"/>
      <c r="M93"/>
    </row>
    <row r="94" spans="2:13" ht="14.4">
      <c r="F94" s="154"/>
      <c r="G94" s="171"/>
      <c r="M94"/>
    </row>
    <row r="95" spans="2:13" ht="14.4">
      <c r="F95" s="154"/>
      <c r="G95" s="171"/>
      <c r="M95"/>
    </row>
    <row r="96" spans="2:13" ht="14.4">
      <c r="F96" s="154"/>
      <c r="G96" s="171"/>
      <c r="M96"/>
    </row>
    <row r="97" spans="6:13" ht="14.4">
      <c r="F97" s="154"/>
      <c r="G97" s="171"/>
      <c r="M97"/>
    </row>
    <row r="98" spans="6:13" ht="14.4">
      <c r="F98" s="154"/>
      <c r="G98" s="171"/>
      <c r="M98"/>
    </row>
    <row r="99" spans="6:13" ht="14.4">
      <c r="F99" s="154"/>
      <c r="G99" s="171"/>
      <c r="M99"/>
    </row>
    <row r="100" spans="6:13" ht="14.4">
      <c r="F100" s="154"/>
      <c r="G100" s="171"/>
      <c r="M100"/>
    </row>
    <row r="101" spans="6:13" ht="14.4">
      <c r="F101" s="154"/>
      <c r="G101" s="171"/>
      <c r="M101"/>
    </row>
    <row r="102" spans="6:13" ht="14.4">
      <c r="F102" s="154"/>
      <c r="G102" s="171"/>
      <c r="M102"/>
    </row>
    <row r="103" spans="6:13" ht="14.4">
      <c r="F103" s="154"/>
      <c r="G103" s="171"/>
      <c r="M103"/>
    </row>
    <row r="104" spans="6:13" ht="14.4">
      <c r="F104" s="154"/>
      <c r="G104" s="171"/>
      <c r="M104"/>
    </row>
    <row r="105" spans="6:13" ht="14.4">
      <c r="F105" s="154"/>
      <c r="G105" s="171"/>
      <c r="M105"/>
    </row>
    <row r="106" spans="6:13" ht="14.4">
      <c r="F106" s="154"/>
      <c r="G106" s="171"/>
      <c r="M106"/>
    </row>
    <row r="107" spans="6:13" ht="14.4">
      <c r="M107"/>
    </row>
    <row r="108" spans="6:13" ht="14.4">
      <c r="M108"/>
    </row>
    <row r="109" spans="6:13" ht="14.4">
      <c r="M109"/>
    </row>
    <row r="110" spans="6:13" ht="14.4">
      <c r="M110"/>
    </row>
    <row r="111" spans="6:13" ht="14.4">
      <c r="M111"/>
    </row>
    <row r="112" spans="6:13" ht="14.4">
      <c r="M112"/>
    </row>
    <row r="113" spans="13:13" ht="14.4">
      <c r="M113"/>
    </row>
    <row r="114" spans="13:13" ht="14.4">
      <c r="M114"/>
    </row>
    <row r="115" spans="13:13" ht="14.4">
      <c r="M115"/>
    </row>
    <row r="116" spans="13:13" ht="14.4">
      <c r="M116"/>
    </row>
    <row r="117" spans="13:13" ht="14.4">
      <c r="M117"/>
    </row>
    <row r="118" spans="13:13" ht="14.4">
      <c r="M118"/>
    </row>
    <row r="119" spans="13:13" ht="14.4">
      <c r="M119"/>
    </row>
    <row r="120" spans="13:13" ht="14.4">
      <c r="M120"/>
    </row>
    <row r="121" spans="13:13" ht="14.4">
      <c r="M121"/>
    </row>
    <row r="122" spans="13:13" ht="14.4">
      <c r="M122"/>
    </row>
    <row r="123" spans="13:13" ht="14.4">
      <c r="M123"/>
    </row>
    <row r="124" spans="13:13" ht="14.4">
      <c r="M124"/>
    </row>
    <row r="125" spans="13:13" ht="14.4">
      <c r="M125"/>
    </row>
    <row r="126" spans="13:13" ht="14.4">
      <c r="M126"/>
    </row>
    <row r="127" spans="13:13" ht="14.4">
      <c r="M127"/>
    </row>
    <row r="128" spans="13:13" ht="14.4">
      <c r="M128"/>
    </row>
    <row r="129" spans="13:13" ht="14.4">
      <c r="M129"/>
    </row>
    <row r="130" spans="13:13" ht="14.4">
      <c r="M130"/>
    </row>
    <row r="131" spans="13:13" ht="14.4">
      <c r="M131"/>
    </row>
    <row r="132" spans="13:13" ht="14.4">
      <c r="M132"/>
    </row>
    <row r="133" spans="13:13" ht="14.4">
      <c r="M133"/>
    </row>
    <row r="134" spans="13:13" ht="14.4">
      <c r="M134"/>
    </row>
    <row r="135" spans="13:13" ht="14.4">
      <c r="M135"/>
    </row>
    <row r="136" spans="13:13" ht="14.4">
      <c r="M136"/>
    </row>
    <row r="137" spans="13:13" ht="14.4">
      <c r="M137"/>
    </row>
    <row r="138" spans="13:13" ht="14.4">
      <c r="M138"/>
    </row>
    <row r="139" spans="13:13" ht="14.4">
      <c r="M139"/>
    </row>
    <row r="140" spans="13:13" ht="14.4">
      <c r="M140"/>
    </row>
    <row r="141" spans="13:13" ht="14.4">
      <c r="M141"/>
    </row>
    <row r="142" spans="13:13" ht="14.4">
      <c r="M142"/>
    </row>
    <row r="143" spans="13:13" ht="14.4">
      <c r="M143"/>
    </row>
    <row r="144" spans="13:13" ht="14.4">
      <c r="M144"/>
    </row>
    <row r="145" spans="13:13" ht="14.4">
      <c r="M145"/>
    </row>
    <row r="146" spans="13:13" ht="14.4">
      <c r="M146"/>
    </row>
    <row r="147" spans="13:13" ht="14.4">
      <c r="M147"/>
    </row>
    <row r="148" spans="13:13" ht="14.4">
      <c r="M148"/>
    </row>
    <row r="149" spans="13:13" ht="14.4">
      <c r="M149"/>
    </row>
    <row r="150" spans="13:13" ht="14.4">
      <c r="M150"/>
    </row>
    <row r="151" spans="13:13" ht="14.4">
      <c r="M151"/>
    </row>
    <row r="152" spans="13:13" ht="14.4">
      <c r="M152"/>
    </row>
    <row r="153" spans="13:13" ht="14.4">
      <c r="M153"/>
    </row>
    <row r="154" spans="13:13" ht="14.4">
      <c r="M154"/>
    </row>
    <row r="155" spans="13:13" ht="14.4">
      <c r="M155"/>
    </row>
    <row r="156" spans="13:13" ht="14.4">
      <c r="M156"/>
    </row>
    <row r="157" spans="13:13" ht="14.4">
      <c r="M157"/>
    </row>
    <row r="158" spans="13:13" ht="14.4">
      <c r="M158"/>
    </row>
    <row r="159" spans="13:13" ht="14.4">
      <c r="M159"/>
    </row>
    <row r="160" spans="13:13" ht="14.4">
      <c r="M160"/>
    </row>
    <row r="161" spans="13:13" ht="14.4">
      <c r="M161"/>
    </row>
    <row r="162" spans="13:13" ht="14.4">
      <c r="M162"/>
    </row>
    <row r="163" spans="13:13" ht="14.4">
      <c r="M163"/>
    </row>
    <row r="164" spans="13:13" ht="14.4">
      <c r="M164"/>
    </row>
    <row r="165" spans="13:13" ht="14.4">
      <c r="M165"/>
    </row>
    <row r="166" spans="13:13" ht="14.4">
      <c r="M166"/>
    </row>
    <row r="167" spans="13:13" ht="14.4">
      <c r="M167"/>
    </row>
    <row r="168" spans="13:13" ht="14.4">
      <c r="M168"/>
    </row>
    <row r="169" spans="13:13" ht="14.4">
      <c r="M169"/>
    </row>
    <row r="170" spans="13:13" ht="14.4">
      <c r="M170"/>
    </row>
    <row r="171" spans="13:13" ht="14.4">
      <c r="M171"/>
    </row>
    <row r="172" spans="13:13" ht="14.4">
      <c r="M172"/>
    </row>
    <row r="173" spans="13:13" ht="14.4">
      <c r="M173"/>
    </row>
    <row r="174" spans="13:13" ht="14.4">
      <c r="M174"/>
    </row>
    <row r="175" spans="13:13" ht="14.4">
      <c r="M175"/>
    </row>
  </sheetData>
  <autoFilter ref="B1:G84"/>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G21"/>
  <sheetViews>
    <sheetView showGridLines="0" workbookViewId="0">
      <selection activeCell="B7" sqref="B7:G21"/>
    </sheetView>
  </sheetViews>
  <sheetFormatPr baseColWidth="10" defaultRowHeight="14.4"/>
  <cols>
    <col min="1" max="1" width="3.44140625" customWidth="1"/>
    <col min="2" max="2" width="51.5546875" bestFit="1" customWidth="1"/>
    <col min="3" max="7" width="9.6640625" customWidth="1"/>
  </cols>
  <sheetData>
    <row r="7" spans="2:7">
      <c r="B7" s="186" t="s">
        <v>383</v>
      </c>
      <c r="C7" s="185" t="s">
        <v>384</v>
      </c>
      <c r="D7" s="185"/>
      <c r="E7" s="185"/>
      <c r="F7" s="185"/>
      <c r="G7" s="185" t="s">
        <v>385</v>
      </c>
    </row>
    <row r="8" spans="2:7">
      <c r="B8" s="187"/>
      <c r="C8" s="184" t="s">
        <v>386</v>
      </c>
      <c r="D8" s="184"/>
      <c r="E8" s="184" t="s">
        <v>387</v>
      </c>
      <c r="F8" s="184"/>
      <c r="G8" s="185"/>
    </row>
    <row r="9" spans="2:7">
      <c r="B9" s="188"/>
      <c r="C9" s="164" t="s">
        <v>203</v>
      </c>
      <c r="D9" s="165" t="s">
        <v>364</v>
      </c>
      <c r="E9" s="164" t="s">
        <v>203</v>
      </c>
      <c r="F9" s="165" t="s">
        <v>364</v>
      </c>
      <c r="G9" s="185"/>
    </row>
    <row r="10" spans="2:7">
      <c r="B10" s="159" t="s">
        <v>35</v>
      </c>
      <c r="C10" s="166">
        <f>COUNTIFS(Hoja1!$F$2:$F$84,B10,Hoja1!$G$2:$G$84,$C$8)</f>
        <v>3</v>
      </c>
      <c r="D10" s="167">
        <f t="shared" ref="D10:D21" si="0">C10/G10</f>
        <v>0.17647058823529413</v>
      </c>
      <c r="E10" s="169">
        <f>COUNTIFS(Hoja1!$F$2:$F$84,B10,Hoja1!$G$2:$G$84,$E$8)</f>
        <v>14</v>
      </c>
      <c r="F10" s="167">
        <f t="shared" ref="F10:F21" si="1">E10/G10</f>
        <v>0.82352941176470584</v>
      </c>
      <c r="G10" s="158">
        <f t="shared" ref="G10:G20" si="2">SUM(C10,E10)</f>
        <v>17</v>
      </c>
    </row>
    <row r="11" spans="2:7">
      <c r="B11" s="159" t="s">
        <v>11</v>
      </c>
      <c r="C11" s="166">
        <f>COUNTIFS(Hoja1!$F$2:$F$84,B11,Hoja1!$G$2:$G$84,$C$8)</f>
        <v>16</v>
      </c>
      <c r="D11" s="167">
        <f t="shared" si="0"/>
        <v>0.61538461538461542</v>
      </c>
      <c r="E11" s="169">
        <f>COUNTIFS(Hoja1!$F$2:$F$84,B11,Hoja1!$G$2:$G$84,$E$8)</f>
        <v>10</v>
      </c>
      <c r="F11" s="167">
        <f t="shared" si="1"/>
        <v>0.38461538461538464</v>
      </c>
      <c r="G11" s="158">
        <f t="shared" si="2"/>
        <v>26</v>
      </c>
    </row>
    <row r="12" spans="2:7">
      <c r="B12" s="159" t="s">
        <v>45</v>
      </c>
      <c r="C12" s="166">
        <f>COUNTIFS(Hoja1!$F$2:$F$84,B12,Hoja1!$G$2:$G$84,$C$8)</f>
        <v>2</v>
      </c>
      <c r="D12" s="167">
        <f t="shared" si="0"/>
        <v>0.33333333333333331</v>
      </c>
      <c r="E12" s="169">
        <f>COUNTIFS(Hoja1!$F$2:$F$84,B12,Hoja1!$G$2:$G$84,$E$8)</f>
        <v>4</v>
      </c>
      <c r="F12" s="167">
        <f t="shared" si="1"/>
        <v>0.66666666666666663</v>
      </c>
      <c r="G12" s="158">
        <f t="shared" si="2"/>
        <v>6</v>
      </c>
    </row>
    <row r="13" spans="2:7">
      <c r="B13" s="159" t="s">
        <v>40</v>
      </c>
      <c r="C13" s="166">
        <f>COUNTIFS(Hoja1!$F$2:$F$84,B13,Hoja1!$G$2:$G$84,$C$8)</f>
        <v>4</v>
      </c>
      <c r="D13" s="167">
        <f t="shared" si="0"/>
        <v>0.33333333333333331</v>
      </c>
      <c r="E13" s="169">
        <f>COUNTIFS(Hoja1!$F$2:$F$84,B13,Hoja1!$G$2:$G$84,$E$8)</f>
        <v>8</v>
      </c>
      <c r="F13" s="167">
        <f t="shared" si="1"/>
        <v>0.66666666666666663</v>
      </c>
      <c r="G13" s="158">
        <f t="shared" si="2"/>
        <v>12</v>
      </c>
    </row>
    <row r="14" spans="2:7">
      <c r="B14" s="159" t="s">
        <v>50</v>
      </c>
      <c r="C14" s="166">
        <f>COUNTIFS(Hoja1!$F$2:$F$84,B14,Hoja1!$G$2:$G$84,$C$8)</f>
        <v>2</v>
      </c>
      <c r="D14" s="167">
        <f t="shared" si="0"/>
        <v>0.66666666666666663</v>
      </c>
      <c r="E14" s="169">
        <f>COUNTIFS(Hoja1!$F$2:$F$84,B14,Hoja1!$G$2:$G$84,$E$8)</f>
        <v>1</v>
      </c>
      <c r="F14" s="167">
        <f t="shared" si="1"/>
        <v>0.33333333333333331</v>
      </c>
      <c r="G14" s="158">
        <f t="shared" si="2"/>
        <v>3</v>
      </c>
    </row>
    <row r="15" spans="2:7">
      <c r="B15" s="159" t="s">
        <v>82</v>
      </c>
      <c r="C15" s="166">
        <f>COUNTIFS(Hoja1!$F$2:$F$84,B15,Hoja1!$G$2:$G$84,$C$8)</f>
        <v>4</v>
      </c>
      <c r="D15" s="167">
        <f t="shared" si="0"/>
        <v>0.8</v>
      </c>
      <c r="E15" s="169">
        <f>COUNTIFS(Hoja1!$F$2:$F$84,B15,Hoja1!$G$2:$G$84,$E$8)</f>
        <v>1</v>
      </c>
      <c r="F15" s="167">
        <f t="shared" si="1"/>
        <v>0.2</v>
      </c>
      <c r="G15" s="158">
        <f t="shared" si="2"/>
        <v>5</v>
      </c>
    </row>
    <row r="16" spans="2:7">
      <c r="B16" s="159" t="s">
        <v>105</v>
      </c>
      <c r="C16" s="166">
        <f>COUNTIFS(Hoja1!$F$2:$F$84,B16,Hoja1!$G$2:$G$84,$C$8)</f>
        <v>1</v>
      </c>
      <c r="D16" s="167">
        <f t="shared" si="0"/>
        <v>0.2</v>
      </c>
      <c r="E16" s="169">
        <f>COUNTIFS(Hoja1!$F$2:$F$84,B16,Hoja1!$G$2:$G$84,$E$8)</f>
        <v>4</v>
      </c>
      <c r="F16" s="167">
        <f t="shared" si="1"/>
        <v>0.8</v>
      </c>
      <c r="G16" s="158">
        <f t="shared" si="2"/>
        <v>5</v>
      </c>
    </row>
    <row r="17" spans="2:7">
      <c r="B17" s="159" t="s">
        <v>95</v>
      </c>
      <c r="C17" s="166">
        <f>COUNTIFS(Hoja1!$F$2:$F$84,B17,Hoja1!$G$2:$G$84,$C$8)</f>
        <v>3</v>
      </c>
      <c r="D17" s="167">
        <f t="shared" si="0"/>
        <v>1</v>
      </c>
      <c r="E17" s="169">
        <f>COUNTIFS(Hoja1!$F$2:$F$84,B17,Hoja1!$G$2:$G$84,$E$8)</f>
        <v>0</v>
      </c>
      <c r="F17" s="167">
        <f t="shared" si="1"/>
        <v>0</v>
      </c>
      <c r="G17" s="158">
        <f t="shared" si="2"/>
        <v>3</v>
      </c>
    </row>
    <row r="18" spans="2:7">
      <c r="B18" s="159" t="s">
        <v>54</v>
      </c>
      <c r="C18" s="166">
        <f>COUNTIFS(Hoja1!$F$2:$F$84,B18,Hoja1!$G$2:$G$84,$C$8)</f>
        <v>1</v>
      </c>
      <c r="D18" s="167">
        <f t="shared" si="0"/>
        <v>0.5</v>
      </c>
      <c r="E18" s="169">
        <f>COUNTIFS(Hoja1!$F$2:$F$84,B18,Hoja1!$G$2:$G$84,$E$8)</f>
        <v>1</v>
      </c>
      <c r="F18" s="167">
        <f t="shared" si="1"/>
        <v>0.5</v>
      </c>
      <c r="G18" s="158">
        <f t="shared" si="2"/>
        <v>2</v>
      </c>
    </row>
    <row r="19" spans="2:7">
      <c r="B19" s="159" t="s">
        <v>127</v>
      </c>
      <c r="C19" s="166">
        <f>COUNTIFS(Hoja1!$F$2:$F$84,B19,Hoja1!$G$2:$G$84,$C$8)</f>
        <v>2</v>
      </c>
      <c r="D19" s="167">
        <f t="shared" si="0"/>
        <v>0.66666666666666663</v>
      </c>
      <c r="E19" s="169">
        <f>COUNTIFS(Hoja1!$F$2:$F$84,B19,Hoja1!$G$2:$G$84,$E$8)</f>
        <v>1</v>
      </c>
      <c r="F19" s="167">
        <f t="shared" si="1"/>
        <v>0.33333333333333331</v>
      </c>
      <c r="G19" s="158">
        <f t="shared" si="2"/>
        <v>3</v>
      </c>
    </row>
    <row r="20" spans="2:7">
      <c r="B20" s="159" t="s">
        <v>151</v>
      </c>
      <c r="C20" s="166">
        <f>COUNTIFS(Hoja1!$F$2:$F$84,B20,Hoja1!$G$2:$G$84,$C$8)</f>
        <v>0</v>
      </c>
      <c r="D20" s="167">
        <f t="shared" si="0"/>
        <v>0</v>
      </c>
      <c r="E20" s="169">
        <f>COUNTIFS(Hoja1!$F$2:$F$84,B20,Hoja1!$G$2:$G$84,$E$8)</f>
        <v>1</v>
      </c>
      <c r="F20" s="167">
        <f t="shared" si="1"/>
        <v>1</v>
      </c>
      <c r="G20" s="158">
        <f t="shared" si="2"/>
        <v>1</v>
      </c>
    </row>
    <row r="21" spans="2:7">
      <c r="B21" s="163" t="s">
        <v>385</v>
      </c>
      <c r="C21" s="164">
        <f>SUM(C10:C20)</f>
        <v>38</v>
      </c>
      <c r="D21" s="168">
        <f t="shared" si="0"/>
        <v>0.45783132530120479</v>
      </c>
      <c r="E21" s="170">
        <f>SUM(E10:E20)</f>
        <v>45</v>
      </c>
      <c r="F21" s="168">
        <f t="shared" si="1"/>
        <v>0.54216867469879515</v>
      </c>
      <c r="G21" s="162">
        <f>SUM(G10:G20)</f>
        <v>83</v>
      </c>
    </row>
  </sheetData>
  <mergeCells count="5">
    <mergeCell ref="C8:D8"/>
    <mergeCell ref="E8:F8"/>
    <mergeCell ref="C7:F7"/>
    <mergeCell ref="G7:G9"/>
    <mergeCell ref="B7:B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showGridLines="0" workbookViewId="0">
      <selection activeCell="A9" sqref="A9"/>
    </sheetView>
  </sheetViews>
  <sheetFormatPr baseColWidth="10" defaultRowHeight="14.4"/>
  <cols>
    <col min="1" max="1" width="48" bestFit="1" customWidth="1"/>
    <col min="2" max="2" width="46.44140625" bestFit="1" customWidth="1"/>
  </cols>
  <sheetData>
    <row r="1" spans="1:2">
      <c r="A1" s="20" t="s">
        <v>28</v>
      </c>
      <c r="B1" s="21" t="str">
        <f>UPPER(A1)</f>
        <v xml:space="preserve">ATENCIÓN AMBULATORIA </v>
      </c>
    </row>
    <row r="2" spans="1:2">
      <c r="A2" s="22" t="s">
        <v>19</v>
      </c>
      <c r="B2" s="23" t="str">
        <f t="shared" ref="B2:B27" si="0">UPPER(A2)</f>
        <v xml:space="preserve">ATENCIÓN EN HOSPITALIZACIÓN </v>
      </c>
    </row>
    <row r="3" spans="1:2">
      <c r="A3" s="22" t="s">
        <v>71</v>
      </c>
      <c r="B3" s="23" t="str">
        <f t="shared" si="0"/>
        <v xml:space="preserve">ATENCIÓN EN IMÁGENES DIAGNÓSTICAS </v>
      </c>
    </row>
    <row r="4" spans="1:2">
      <c r="A4" s="22" t="s">
        <v>25</v>
      </c>
      <c r="B4" s="23" t="str">
        <f t="shared" si="0"/>
        <v xml:space="preserve">ATENCIÓN EN LABORATORIO CLÍNICO </v>
      </c>
    </row>
    <row r="5" spans="1:2">
      <c r="A5" s="22" t="s">
        <v>31</v>
      </c>
      <c r="B5" s="23" t="str">
        <f t="shared" si="0"/>
        <v xml:space="preserve">ATENCIÓN EN P Y P </v>
      </c>
    </row>
    <row r="6" spans="1:2">
      <c r="A6" s="22" t="s">
        <v>16</v>
      </c>
      <c r="B6" s="23" t="str">
        <f t="shared" si="0"/>
        <v xml:space="preserve">ATENCIÓN EN URGENCIAS </v>
      </c>
    </row>
    <row r="7" spans="1:2">
      <c r="A7" s="22" t="s">
        <v>12</v>
      </c>
      <c r="B7" s="23" t="str">
        <f t="shared" si="0"/>
        <v xml:space="preserve">ATENCIÓN QUIRÚRGICA </v>
      </c>
    </row>
    <row r="8" spans="1:2">
      <c r="A8" s="22" t="s">
        <v>92</v>
      </c>
      <c r="B8" s="23" t="str">
        <f t="shared" si="0"/>
        <v>DESARROLLO DEL SISTEMA DE GESTIÓN</v>
      </c>
    </row>
    <row r="9" spans="1:2">
      <c r="A9" s="22" t="s">
        <v>142</v>
      </c>
      <c r="B9" s="23" t="str">
        <f t="shared" si="0"/>
        <v>DIRECCIONAMIENTO Y PLANEACIÓN</v>
      </c>
    </row>
    <row r="10" spans="1:2">
      <c r="A10" s="22" t="s">
        <v>205</v>
      </c>
      <c r="B10" s="23" t="str">
        <f t="shared" si="0"/>
        <v>GESTIÓN CONTROL INTERNO DISCIPLINARIO</v>
      </c>
    </row>
    <row r="11" spans="1:2">
      <c r="A11" s="22" t="s">
        <v>106</v>
      </c>
      <c r="B11" s="23" t="str">
        <f t="shared" si="0"/>
        <v xml:space="preserve">GESTIÓN DE LA CONTRATACIÓN </v>
      </c>
    </row>
    <row r="12" spans="1:2">
      <c r="A12" s="22" t="s">
        <v>206</v>
      </c>
      <c r="B12" s="23" t="str">
        <f t="shared" si="0"/>
        <v xml:space="preserve">GESTIÓN DE LA EVALUACIÓN </v>
      </c>
    </row>
    <row r="13" spans="1:2">
      <c r="A13" s="22" t="s">
        <v>128</v>
      </c>
      <c r="B13" s="23" t="str">
        <f t="shared" si="0"/>
        <v xml:space="preserve">GESTIÓN DE SALUD PÚBLICA Y TERRITORIAL </v>
      </c>
    </row>
    <row r="14" spans="1:2">
      <c r="A14" s="22" t="s">
        <v>204</v>
      </c>
      <c r="B14" s="23" t="str">
        <f t="shared" si="0"/>
        <v xml:space="preserve">GESTIÓN DEL CONOCIMIENTO Y LA INNOVACIÓN </v>
      </c>
    </row>
    <row r="15" spans="1:2">
      <c r="A15" s="22" t="s">
        <v>85</v>
      </c>
      <c r="B15" s="23" t="str">
        <f t="shared" si="0"/>
        <v xml:space="preserve">GESTIÓN DOCENCIA SERVICIO </v>
      </c>
    </row>
    <row r="16" spans="1:2">
      <c r="A16" s="22" t="s">
        <v>51</v>
      </c>
      <c r="B16" s="23" t="str">
        <f t="shared" si="0"/>
        <v xml:space="preserve">GESTIÓN DOCUMENTAL </v>
      </c>
    </row>
    <row r="17" spans="1:2">
      <c r="A17" s="22" t="s">
        <v>36</v>
      </c>
      <c r="B17" s="23" t="str">
        <f t="shared" si="0"/>
        <v xml:space="preserve">GESTIÓN FINANCIERA </v>
      </c>
    </row>
    <row r="18" spans="1:2">
      <c r="A18" s="22" t="s">
        <v>55</v>
      </c>
      <c r="B18" s="23" t="str">
        <f t="shared" si="0"/>
        <v xml:space="preserve">GESTIÓN JURÍDICA </v>
      </c>
    </row>
    <row r="19" spans="1:2">
      <c r="A19" s="22" t="s">
        <v>41</v>
      </c>
      <c r="B19" s="23" t="str">
        <f t="shared" si="0"/>
        <v xml:space="preserve">GESTIÓN LOGÍSTICA </v>
      </c>
    </row>
    <row r="20" spans="1:2">
      <c r="A20" s="22" t="s">
        <v>22</v>
      </c>
      <c r="B20" s="23" t="str">
        <f t="shared" si="0"/>
        <v xml:space="preserve">GESTIÓN SERVICIO FARMACÉUTICO </v>
      </c>
    </row>
    <row r="21" spans="1:2">
      <c r="A21" s="22" t="s">
        <v>186</v>
      </c>
      <c r="B21" s="23" t="str">
        <f t="shared" si="0"/>
        <v xml:space="preserve">GESTIÓN SISTEMA DE INFORMACIÓN </v>
      </c>
    </row>
    <row r="22" spans="1:2">
      <c r="A22" s="22" t="s">
        <v>67</v>
      </c>
      <c r="B22" s="23" t="str">
        <f t="shared" si="0"/>
        <v xml:space="preserve">GESTIÓN TALENTO HUMANO </v>
      </c>
    </row>
    <row r="23" spans="1:2">
      <c r="A23" s="22" t="s">
        <v>46</v>
      </c>
      <c r="B23" s="23" t="str">
        <f t="shared" si="0"/>
        <v xml:space="preserve">GESTIÓN VENTA DE SERVICIOS </v>
      </c>
    </row>
    <row r="24" spans="1:2">
      <c r="A24" s="24" t="s">
        <v>118</v>
      </c>
      <c r="B24" s="25" t="str">
        <f t="shared" si="0"/>
        <v>SIN PROCESO: REFERENCIA Y CONTRARREFERENCIA</v>
      </c>
    </row>
    <row r="25" spans="1:2">
      <c r="A25" s="24" t="s">
        <v>163</v>
      </c>
      <c r="B25" s="25" t="str">
        <f t="shared" si="0"/>
        <v>SIN PROCESO: AUDITORÍAS INTEGRALES UPSS</v>
      </c>
    </row>
    <row r="26" spans="1:2">
      <c r="A26" s="24" t="s">
        <v>152</v>
      </c>
      <c r="B26" s="25" t="str">
        <f t="shared" si="0"/>
        <v>SIN PROCESO: COMUNICACIÓN ORGANIZACIONAL</v>
      </c>
    </row>
    <row r="27" spans="1:2">
      <c r="A27" s="26"/>
      <c r="B27" s="26" t="str">
        <f t="shared" si="0"/>
        <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election activeCell="A7" sqref="A7"/>
    </sheetView>
  </sheetViews>
  <sheetFormatPr baseColWidth="10" defaultColWidth="96" defaultRowHeight="14.4"/>
  <cols>
    <col min="1" max="1" width="126.109375" style="119" bestFit="1" customWidth="1"/>
    <col min="2" max="16384" width="96" style="119"/>
  </cols>
  <sheetData>
    <row r="1" spans="1:2">
      <c r="A1" s="118"/>
    </row>
    <row r="2" spans="1:2">
      <c r="A2" s="118" t="s">
        <v>40</v>
      </c>
    </row>
    <row r="3" spans="1:2">
      <c r="A3" s="118" t="s">
        <v>105</v>
      </c>
      <c r="B3"/>
    </row>
    <row r="4" spans="1:2">
      <c r="A4" s="118" t="s">
        <v>50</v>
      </c>
    </row>
    <row r="5" spans="1:2">
      <c r="A5" s="118" t="s">
        <v>82</v>
      </c>
    </row>
    <row r="6" spans="1:2">
      <c r="A6" s="118" t="s">
        <v>45</v>
      </c>
    </row>
    <row r="7" spans="1:2">
      <c r="A7" s="120" t="s">
        <v>151</v>
      </c>
    </row>
    <row r="8" spans="1:2">
      <c r="A8" s="121" t="s">
        <v>95</v>
      </c>
    </row>
    <row r="9" spans="1:2">
      <c r="A9" s="121" t="s">
        <v>344</v>
      </c>
    </row>
    <row r="10" spans="1:2">
      <c r="A10" s="121" t="s">
        <v>345</v>
      </c>
    </row>
    <row r="11" spans="1:2">
      <c r="A11" s="121" t="s">
        <v>127</v>
      </c>
    </row>
    <row r="12" spans="1:2">
      <c r="A12" s="121" t="s">
        <v>54</v>
      </c>
    </row>
    <row r="13" spans="1:2">
      <c r="A13" s="122" t="s">
        <v>35</v>
      </c>
    </row>
    <row r="14" spans="1:2">
      <c r="A14" s="123" t="s">
        <v>11</v>
      </c>
    </row>
    <row r="15" spans="1:2">
      <c r="A15" s="120"/>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10"/>
  <sheetViews>
    <sheetView showGridLines="0" zoomScale="70" zoomScaleNormal="70" workbookViewId="0">
      <selection activeCell="Q21" sqref="Q21"/>
    </sheetView>
  </sheetViews>
  <sheetFormatPr baseColWidth="10" defaultColWidth="11.44140625" defaultRowHeight="13.8"/>
  <cols>
    <col min="1" max="1" width="1" style="96" customWidth="1"/>
    <col min="2" max="2" width="16.109375" style="96" customWidth="1"/>
    <col min="3" max="4" width="18.6640625" style="96" customWidth="1"/>
    <col min="5" max="5" width="20.6640625" style="96" customWidth="1"/>
    <col min="6" max="10" width="16.6640625" style="96" customWidth="1"/>
    <col min="11" max="11" width="20.5546875" style="96" customWidth="1"/>
    <col min="12" max="15" width="18.6640625" style="96" customWidth="1"/>
    <col min="16" max="16" width="20.6640625" style="96" customWidth="1"/>
    <col min="17" max="17" width="15.6640625" style="96" customWidth="1"/>
    <col min="18" max="18" width="18.6640625" style="96" customWidth="1"/>
    <col min="19" max="22" width="20.6640625" style="96" customWidth="1"/>
    <col min="23" max="23" width="22.6640625" style="96" customWidth="1"/>
    <col min="24" max="16384" width="11.44140625" style="96"/>
  </cols>
  <sheetData>
    <row r="2" spans="2:16" ht="20.399999999999999">
      <c r="B2" s="95" t="s">
        <v>352</v>
      </c>
      <c r="C2" s="11"/>
    </row>
    <row r="3" spans="2:16" ht="9" customHeight="1">
      <c r="B3" s="11"/>
      <c r="C3" s="11"/>
    </row>
    <row r="4" spans="2:16" ht="93" customHeight="1">
      <c r="B4" s="1" t="s">
        <v>0</v>
      </c>
      <c r="C4" s="1" t="s">
        <v>193</v>
      </c>
      <c r="D4" s="1" t="s">
        <v>194</v>
      </c>
      <c r="E4" s="1" t="s">
        <v>312</v>
      </c>
      <c r="F4" s="1" t="s">
        <v>196</v>
      </c>
      <c r="G4" s="2" t="s">
        <v>322</v>
      </c>
      <c r="H4" s="3" t="s">
        <v>320</v>
      </c>
      <c r="I4" s="4" t="s">
        <v>321</v>
      </c>
      <c r="J4" s="5" t="s">
        <v>332</v>
      </c>
      <c r="K4" s="1" t="s">
        <v>7</v>
      </c>
      <c r="L4" s="73" t="s">
        <v>195</v>
      </c>
      <c r="M4" s="73" t="s">
        <v>6</v>
      </c>
      <c r="N4" s="73" t="s">
        <v>295</v>
      </c>
      <c r="O4" s="73" t="s">
        <v>296</v>
      </c>
      <c r="P4" s="73" t="s">
        <v>8</v>
      </c>
    </row>
    <row r="5" spans="2:16" ht="24" customHeight="1">
      <c r="B5" s="94">
        <v>2019</v>
      </c>
      <c r="C5" s="89">
        <v>13</v>
      </c>
      <c r="D5" s="89">
        <v>11</v>
      </c>
      <c r="E5" s="89">
        <v>87</v>
      </c>
      <c r="F5" s="89">
        <v>118</v>
      </c>
      <c r="G5" s="89">
        <v>34</v>
      </c>
      <c r="H5" s="89">
        <v>22</v>
      </c>
      <c r="I5" s="89">
        <v>48</v>
      </c>
      <c r="J5" s="89">
        <v>14</v>
      </c>
      <c r="K5" s="89">
        <v>12</v>
      </c>
      <c r="L5" s="90">
        <v>0.84615384615384615</v>
      </c>
      <c r="M5" s="90">
        <v>0.32692307692307693</v>
      </c>
      <c r="N5" s="90">
        <v>0.21153846153846154</v>
      </c>
      <c r="O5" s="90">
        <v>0.46153846153846156</v>
      </c>
      <c r="P5" s="90">
        <v>0.13793103448275862</v>
      </c>
    </row>
    <row r="6" spans="2:16" ht="24" customHeight="1">
      <c r="B6" s="94">
        <v>2020</v>
      </c>
      <c r="C6" s="89">
        <v>16</v>
      </c>
      <c r="D6" s="89">
        <v>8</v>
      </c>
      <c r="E6" s="89">
        <v>97</v>
      </c>
      <c r="F6" s="89">
        <v>59</v>
      </c>
      <c r="G6" s="89">
        <v>16</v>
      </c>
      <c r="H6" s="89">
        <v>27</v>
      </c>
      <c r="I6" s="89">
        <v>16</v>
      </c>
      <c r="J6" s="89">
        <v>0</v>
      </c>
      <c r="K6" s="89">
        <v>18</v>
      </c>
      <c r="L6" s="90">
        <v>0.5</v>
      </c>
      <c r="M6" s="90">
        <v>0.2711864406779661</v>
      </c>
      <c r="N6" s="90">
        <v>0.4576271186440678</v>
      </c>
      <c r="O6" s="90">
        <v>0.2711864406779661</v>
      </c>
      <c r="P6" s="90">
        <v>0.18556701030927836</v>
      </c>
    </row>
    <row r="7" spans="2:16" ht="24" customHeight="1">
      <c r="B7" s="94">
        <v>2021</v>
      </c>
      <c r="C7" s="89">
        <v>20</v>
      </c>
      <c r="D7" s="89">
        <v>12</v>
      </c>
      <c r="E7" s="89">
        <v>89</v>
      </c>
      <c r="F7" s="89">
        <v>119</v>
      </c>
      <c r="G7" s="89">
        <v>19</v>
      </c>
      <c r="H7" s="89">
        <v>19</v>
      </c>
      <c r="I7" s="89">
        <v>31</v>
      </c>
      <c r="J7" s="89">
        <v>50</v>
      </c>
      <c r="K7" s="89">
        <v>11</v>
      </c>
      <c r="L7" s="90">
        <v>0.6</v>
      </c>
      <c r="M7" s="90">
        <v>0.27536231884057971</v>
      </c>
      <c r="N7" s="90">
        <v>0.27536231884057971</v>
      </c>
      <c r="O7" s="90">
        <v>0.44927536231884058</v>
      </c>
      <c r="P7" s="90">
        <v>0.12359550561797752</v>
      </c>
    </row>
    <row r="8" spans="2:16" ht="24" customHeight="1">
      <c r="B8" s="94">
        <v>2022</v>
      </c>
      <c r="C8" s="89">
        <v>13</v>
      </c>
      <c r="D8" s="89">
        <v>3</v>
      </c>
      <c r="E8" s="89">
        <v>31</v>
      </c>
      <c r="F8" s="89">
        <v>23</v>
      </c>
      <c r="G8" s="89">
        <v>3</v>
      </c>
      <c r="H8" s="89">
        <v>9</v>
      </c>
      <c r="I8" s="89">
        <v>0</v>
      </c>
      <c r="J8" s="89">
        <v>11</v>
      </c>
      <c r="K8" s="89">
        <v>0</v>
      </c>
      <c r="L8" s="90">
        <v>0.23076923076923078</v>
      </c>
      <c r="M8" s="90">
        <v>0.25</v>
      </c>
      <c r="N8" s="90">
        <v>0.75</v>
      </c>
      <c r="O8" s="90">
        <v>0</v>
      </c>
      <c r="P8" s="90">
        <v>0</v>
      </c>
    </row>
    <row r="9" spans="2:16" ht="24" customHeight="1">
      <c r="B9" s="94">
        <v>2023</v>
      </c>
      <c r="C9" s="89">
        <v>20</v>
      </c>
      <c r="D9" s="89">
        <v>4</v>
      </c>
      <c r="E9" s="89">
        <v>95</v>
      </c>
      <c r="F9" s="89">
        <v>31</v>
      </c>
      <c r="G9" s="89">
        <v>0</v>
      </c>
      <c r="H9" s="89">
        <v>0</v>
      </c>
      <c r="I9" s="89">
        <v>0</v>
      </c>
      <c r="J9" s="89">
        <v>31</v>
      </c>
      <c r="K9" s="89">
        <v>0</v>
      </c>
      <c r="L9" s="90">
        <v>0.2</v>
      </c>
      <c r="M9" s="90" t="s">
        <v>339</v>
      </c>
      <c r="N9" s="90" t="s">
        <v>339</v>
      </c>
      <c r="O9" s="90" t="s">
        <v>339</v>
      </c>
      <c r="P9" s="90">
        <v>0</v>
      </c>
    </row>
    <row r="10" spans="2:16" ht="24" customHeight="1">
      <c r="B10" s="91" t="s">
        <v>201</v>
      </c>
      <c r="C10" s="92">
        <v>82</v>
      </c>
      <c r="D10" s="92">
        <v>38</v>
      </c>
      <c r="E10" s="92">
        <v>399</v>
      </c>
      <c r="F10" s="92">
        <v>350</v>
      </c>
      <c r="G10" s="92">
        <v>72</v>
      </c>
      <c r="H10" s="92">
        <v>77</v>
      </c>
      <c r="I10" s="92">
        <v>95</v>
      </c>
      <c r="J10" s="92">
        <v>106</v>
      </c>
      <c r="K10" s="92">
        <v>41</v>
      </c>
      <c r="L10" s="93">
        <v>0.46341463414634149</v>
      </c>
      <c r="M10" s="93">
        <v>0.29508196721311475</v>
      </c>
      <c r="N10" s="93">
        <v>0.3155737704918033</v>
      </c>
      <c r="O10" s="93">
        <v>0.38934426229508196</v>
      </c>
      <c r="P10" s="93">
        <v>0.10275689223057644</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P10"/>
  <sheetViews>
    <sheetView showGridLines="0" zoomScale="70" zoomScaleNormal="70" workbookViewId="0">
      <selection activeCell="N9" sqref="N9"/>
    </sheetView>
  </sheetViews>
  <sheetFormatPr baseColWidth="10" defaultColWidth="11.44140625" defaultRowHeight="13.8"/>
  <cols>
    <col min="1" max="1" width="1" style="96" customWidth="1"/>
    <col min="2" max="2" width="17.44140625" style="96" customWidth="1"/>
    <col min="3" max="4" width="18.6640625" style="96" customWidth="1"/>
    <col min="5" max="5" width="20.6640625" style="96" customWidth="1"/>
    <col min="6" max="10" width="16.6640625" style="96" customWidth="1"/>
    <col min="11" max="11" width="20.5546875" style="96" customWidth="1"/>
    <col min="12" max="15" width="18.6640625" style="96" customWidth="1"/>
    <col min="16" max="16" width="20.6640625" style="96" customWidth="1"/>
    <col min="17" max="17" width="15.6640625" style="96" customWidth="1"/>
    <col min="18" max="18" width="18.6640625" style="96" customWidth="1"/>
    <col min="19" max="22" width="20.6640625" style="96" customWidth="1"/>
    <col min="23" max="23" width="22.6640625" style="96" customWidth="1"/>
    <col min="24" max="16384" width="11.44140625" style="96"/>
  </cols>
  <sheetData>
    <row r="2" spans="2:16" ht="20.399999999999999">
      <c r="B2" s="95" t="s">
        <v>352</v>
      </c>
      <c r="C2" s="11"/>
    </row>
    <row r="3" spans="2:16" ht="9" customHeight="1">
      <c r="B3" s="11"/>
      <c r="C3" s="11"/>
    </row>
    <row r="4" spans="2:16" ht="93" customHeight="1">
      <c r="B4" s="1" t="s">
        <v>0</v>
      </c>
      <c r="C4" s="1" t="s">
        <v>350</v>
      </c>
      <c r="D4" s="1" t="s">
        <v>354</v>
      </c>
      <c r="E4" s="1" t="s">
        <v>312</v>
      </c>
      <c r="F4" s="1" t="s">
        <v>196</v>
      </c>
      <c r="G4" s="2" t="s">
        <v>322</v>
      </c>
      <c r="H4" s="3" t="s">
        <v>320</v>
      </c>
      <c r="I4" s="4" t="s">
        <v>321</v>
      </c>
      <c r="J4" s="5" t="s">
        <v>332</v>
      </c>
      <c r="K4" s="1" t="s">
        <v>7</v>
      </c>
      <c r="L4" s="73" t="s">
        <v>355</v>
      </c>
      <c r="M4" s="73" t="s">
        <v>6</v>
      </c>
      <c r="N4" s="73" t="s">
        <v>295</v>
      </c>
      <c r="O4" s="73" t="s">
        <v>296</v>
      </c>
      <c r="P4" s="73" t="s">
        <v>8</v>
      </c>
    </row>
    <row r="5" spans="2:16" ht="24" customHeight="1">
      <c r="B5" s="126">
        <v>2019</v>
      </c>
      <c r="C5" s="89">
        <v>13</v>
      </c>
      <c r="D5" s="89">
        <v>11</v>
      </c>
      <c r="E5" s="89">
        <v>87</v>
      </c>
      <c r="F5" s="89">
        <v>118</v>
      </c>
      <c r="G5" s="89">
        <v>34</v>
      </c>
      <c r="H5" s="89">
        <v>22</v>
      </c>
      <c r="I5" s="89">
        <v>48</v>
      </c>
      <c r="J5" s="89">
        <v>14</v>
      </c>
      <c r="K5" s="89">
        <v>12</v>
      </c>
      <c r="L5" s="90">
        <v>0.84615384615384615</v>
      </c>
      <c r="M5" s="90">
        <v>0.32692307692307693</v>
      </c>
      <c r="N5" s="90">
        <v>0.21153846153846154</v>
      </c>
      <c r="O5" s="90">
        <v>0.46153846153846156</v>
      </c>
      <c r="P5" s="90">
        <v>0.13793103448275862</v>
      </c>
    </row>
    <row r="6" spans="2:16" ht="24" customHeight="1">
      <c r="B6" s="126">
        <v>2020</v>
      </c>
      <c r="C6" s="89">
        <v>16</v>
      </c>
      <c r="D6" s="89">
        <v>8</v>
      </c>
      <c r="E6" s="89">
        <v>97</v>
      </c>
      <c r="F6" s="89">
        <v>59</v>
      </c>
      <c r="G6" s="89">
        <v>16</v>
      </c>
      <c r="H6" s="89">
        <v>27</v>
      </c>
      <c r="I6" s="89">
        <v>16</v>
      </c>
      <c r="J6" s="89">
        <v>0</v>
      </c>
      <c r="K6" s="89">
        <v>18</v>
      </c>
      <c r="L6" s="90">
        <v>0.5</v>
      </c>
      <c r="M6" s="90">
        <v>0.2711864406779661</v>
      </c>
      <c r="N6" s="90">
        <v>0.4576271186440678</v>
      </c>
      <c r="O6" s="90">
        <v>0.2711864406779661</v>
      </c>
      <c r="P6" s="90">
        <v>0.18556701030927836</v>
      </c>
    </row>
    <row r="7" spans="2:16" ht="24" customHeight="1">
      <c r="B7" s="126">
        <v>2021</v>
      </c>
      <c r="C7" s="89">
        <v>20</v>
      </c>
      <c r="D7" s="89">
        <v>12</v>
      </c>
      <c r="E7" s="89">
        <v>89</v>
      </c>
      <c r="F7" s="89">
        <v>119</v>
      </c>
      <c r="G7" s="89">
        <v>19</v>
      </c>
      <c r="H7" s="89">
        <v>19</v>
      </c>
      <c r="I7" s="89">
        <v>31</v>
      </c>
      <c r="J7" s="89">
        <v>50</v>
      </c>
      <c r="K7" s="89">
        <v>11</v>
      </c>
      <c r="L7" s="90">
        <v>0.6</v>
      </c>
      <c r="M7" s="90">
        <v>0.27536231884057971</v>
      </c>
      <c r="N7" s="90">
        <v>0.27536231884057971</v>
      </c>
      <c r="O7" s="90">
        <v>0.44927536231884058</v>
      </c>
      <c r="P7" s="90">
        <v>0.12359550561797752</v>
      </c>
    </row>
    <row r="8" spans="2:16" ht="24" customHeight="1">
      <c r="B8" s="126">
        <v>2022</v>
      </c>
      <c r="C8" s="89">
        <v>13</v>
      </c>
      <c r="D8" s="89">
        <v>3</v>
      </c>
      <c r="E8" s="89">
        <v>31</v>
      </c>
      <c r="F8" s="89">
        <v>23</v>
      </c>
      <c r="G8" s="89">
        <v>3</v>
      </c>
      <c r="H8" s="89">
        <v>9</v>
      </c>
      <c r="I8" s="89">
        <v>0</v>
      </c>
      <c r="J8" s="89">
        <v>11</v>
      </c>
      <c r="K8" s="89">
        <v>0</v>
      </c>
      <c r="L8" s="90">
        <v>0.23076923076923078</v>
      </c>
      <c r="M8" s="90">
        <v>0.25</v>
      </c>
      <c r="N8" s="90">
        <v>0.75</v>
      </c>
      <c r="O8" s="90">
        <v>0</v>
      </c>
      <c r="P8" s="90">
        <v>0</v>
      </c>
    </row>
    <row r="9" spans="2:16" ht="24" customHeight="1">
      <c r="B9" s="126">
        <v>2023</v>
      </c>
      <c r="C9" s="89">
        <v>21</v>
      </c>
      <c r="D9" s="89">
        <v>4</v>
      </c>
      <c r="E9" s="89">
        <v>100</v>
      </c>
      <c r="F9" s="89">
        <v>31</v>
      </c>
      <c r="G9" s="89">
        <v>0</v>
      </c>
      <c r="H9" s="89">
        <v>0</v>
      </c>
      <c r="I9" s="89">
        <v>0</v>
      </c>
      <c r="J9" s="89">
        <v>31</v>
      </c>
      <c r="K9" s="89">
        <v>0</v>
      </c>
      <c r="L9" s="90">
        <v>0.19047619047619047</v>
      </c>
      <c r="M9" s="90" t="s">
        <v>339</v>
      </c>
      <c r="N9" s="90" t="s">
        <v>339</v>
      </c>
      <c r="O9" s="90" t="s">
        <v>339</v>
      </c>
      <c r="P9" s="90">
        <v>0</v>
      </c>
    </row>
    <row r="10" spans="2:16" ht="24" customHeight="1">
      <c r="B10" s="92" t="s">
        <v>201</v>
      </c>
      <c r="C10" s="92">
        <v>83</v>
      </c>
      <c r="D10" s="92">
        <v>38</v>
      </c>
      <c r="E10" s="92">
        <v>404</v>
      </c>
      <c r="F10" s="92">
        <v>350</v>
      </c>
      <c r="G10" s="92">
        <v>72</v>
      </c>
      <c r="H10" s="92">
        <v>77</v>
      </c>
      <c r="I10" s="92">
        <v>95</v>
      </c>
      <c r="J10" s="92">
        <v>106</v>
      </c>
      <c r="K10" s="92">
        <v>41</v>
      </c>
      <c r="L10" s="93">
        <v>0.45783132530120479</v>
      </c>
      <c r="M10" s="93">
        <v>0.29508196721311475</v>
      </c>
      <c r="N10" s="93">
        <v>0.3155737704918033</v>
      </c>
      <c r="O10" s="93">
        <v>0.38934426229508196</v>
      </c>
      <c r="P10" s="93">
        <v>0.10148514851485149</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Auditorías Riesgos 05-01-2024</vt:lpstr>
      <vt:lpstr>Auditorías Riesgos 10012024</vt:lpstr>
      <vt:lpstr>Auditorías Riesgos 2019-2023</vt:lpstr>
      <vt:lpstr>Hoja1</vt:lpstr>
      <vt:lpstr>Hoja2</vt:lpstr>
      <vt:lpstr>PROCESOS</vt:lpstr>
      <vt:lpstr>UNIDADES ADMINISTRATIVAS</vt:lpstr>
      <vt:lpstr>Consolidado por Año 05-01-2024</vt:lpstr>
      <vt:lpstr>Consolidado por Año 10012024</vt:lpstr>
      <vt:lpstr>Consolidado por Año</vt:lpstr>
      <vt:lpstr>Consolidado por Pr. 05-01-2024</vt:lpstr>
      <vt:lpstr>Consolidado por Pr. 10012024</vt:lpstr>
      <vt:lpstr>Consolidado por Proceso</vt:lpstr>
      <vt:lpstr>Consolidado por Unidad Adm.</vt:lpstr>
      <vt:lpstr>Tabla para informe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DE JESUS VALLEJO VELASQUEZ</dc:creator>
  <cp:lastModifiedBy>CLAUDIA REGINA GONZALEZ GONZALEZ</cp:lastModifiedBy>
  <dcterms:created xsi:type="dcterms:W3CDTF">2023-12-06T14:47:03Z</dcterms:created>
  <dcterms:modified xsi:type="dcterms:W3CDTF">2024-03-01T13:34:13Z</dcterms:modified>
</cp:coreProperties>
</file>